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10" windowWidth="13830" windowHeight="9120" activeTab="1"/>
  </bookViews>
  <sheets>
    <sheet name="Selbständige" sheetId="1" r:id="rId1"/>
    <sheet name="Arbeitnehmer" sheetId="2" r:id="rId2"/>
    <sheet name="Rentner" sheetId="3" r:id="rId3"/>
    <sheet name="sonstige" sheetId="4" r:id="rId4"/>
    <sheet name="Zahlen" sheetId="5" r:id="rId5"/>
  </sheets>
  <definedNames>
    <definedName name="daten">'Zahlen'!$B$4:$L$19</definedName>
    <definedName name="jahre">'Zahlen'!$B$4:$B$19</definedName>
  </definedNames>
  <calcPr fullCalcOnLoad="1"/>
</workbook>
</file>

<file path=xl/comments1.xml><?xml version="1.0" encoding="utf-8"?>
<comments xmlns="http://schemas.openxmlformats.org/spreadsheetml/2006/main">
  <authors>
    <author>Schorsch</author>
  </authors>
  <commentList>
    <comment ref="B10" authorId="0">
      <text>
        <r>
          <rPr>
            <sz val="8"/>
            <rFont val="Verdana"/>
            <family val="2"/>
          </rPr>
          <t xml:space="preserve">Es wird in der Regel erst ein Jahr später über die Steuer-erklärung festgestellt, ob der tatsächlich erzielte Gewinn über der Bemessungsgrundlage liegt. </t>
        </r>
        <r>
          <rPr>
            <u val="single"/>
            <sz val="8"/>
            <rFont val="Verdana"/>
            <family val="2"/>
          </rPr>
          <t>Wenn dies der Fall ist, kann es zu Nachzahlungen bei der freiwilligen GKV-Mitgliedschaft von Selbständigen kommen.</t>
        </r>
        <r>
          <rPr>
            <sz val="8"/>
            <rFont val="Verdan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Schorsch</author>
  </authors>
  <commentList>
    <comment ref="B19" authorId="0">
      <text>
        <r>
          <rPr>
            <sz val="9"/>
            <rFont val="Verdana"/>
            <family val="2"/>
          </rPr>
          <t xml:space="preserve">Viele Kassen erhöhen 2016 den Zusatzbeitrag, den der ArbN alleine tragen muss, um durchschnittlich 1,1%.
</t>
        </r>
      </text>
    </comment>
  </commentList>
</comments>
</file>

<file path=xl/sharedStrings.xml><?xml version="1.0" encoding="utf-8"?>
<sst xmlns="http://schemas.openxmlformats.org/spreadsheetml/2006/main" count="180" uniqueCount="100">
  <si>
    <t>ja</t>
  </si>
  <si>
    <t>Arbeitnehmer</t>
  </si>
  <si>
    <t>Bruttogehalt</t>
  </si>
  <si>
    <t>gesetzlicher KV-Beitrag</t>
  </si>
  <si>
    <t>Pflegeversicherung</t>
  </si>
  <si>
    <t>Arbeitnehmeranteil KV</t>
  </si>
  <si>
    <t>Krankentagegeld</t>
  </si>
  <si>
    <t>Arbeitnehmeranteil PV</t>
  </si>
  <si>
    <t>Selbständige</t>
  </si>
  <si>
    <t>Sind sie kinderlos?</t>
  </si>
  <si>
    <t>Mindest-Bemessungsgrundlage</t>
  </si>
  <si>
    <t>EUR</t>
  </si>
  <si>
    <t>GKV-Beitrag</t>
  </si>
  <si>
    <t>pkv-selbstvergleich.de</t>
  </si>
  <si>
    <t>nein</t>
  </si>
  <si>
    <t>Gesamtbeitrag PKV</t>
  </si>
  <si>
    <t>Gesamtbeitrag GKV</t>
  </si>
  <si>
    <t>PKV-Beitrag</t>
  </si>
  <si>
    <t>€</t>
  </si>
  <si>
    <t>GKV</t>
  </si>
  <si>
    <t>PKV</t>
  </si>
  <si>
    <t>Rentner ist . . .</t>
  </si>
  <si>
    <t>gesetzliche Rente</t>
  </si>
  <si>
    <t>Arbeitseinkommen über 400 €</t>
  </si>
  <si>
    <t>Mieteinkünfte (ermäßigter Beitrag)</t>
  </si>
  <si>
    <t>Zinseinkünfte (ermäßigter Beitrag)</t>
  </si>
  <si>
    <t>ermäßigter KV-Beitrag</t>
  </si>
  <si>
    <t>(+) Pflegeversicherung</t>
  </si>
  <si>
    <t>Rentneranteil GKV</t>
  </si>
  <si>
    <t>Zuschuss BfA</t>
  </si>
  <si>
    <t>Rentneranteil</t>
  </si>
  <si>
    <t>Beitrag gesamt</t>
  </si>
  <si>
    <t>LV-Kapitalauszahlung (nur bAV)</t>
  </si>
  <si>
    <t>GKV-Rentner</t>
  </si>
  <si>
    <t>PKV-Rentner</t>
  </si>
  <si>
    <t>Mindestens 10 Jahre privat versichert?</t>
  </si>
  <si>
    <t>GKV-Beitrag gesamt</t>
  </si>
  <si>
    <t>Krankenversicherung</t>
  </si>
  <si>
    <t>pflicht</t>
  </si>
  <si>
    <t>Summe Renten brutto</t>
  </si>
  <si>
    <t>Rentneranteil - Standardtarif</t>
  </si>
  <si>
    <t>Rentneranteil - PKV</t>
  </si>
  <si>
    <t>Rentneranteil - GKV</t>
  </si>
  <si>
    <t>Versicherungsjahr:</t>
  </si>
  <si>
    <t>Rentner</t>
  </si>
  <si>
    <t>Beitragsberechnung GKV - PKV</t>
  </si>
  <si>
    <t>Einkommenslose</t>
  </si>
  <si>
    <t>Härtefallregel</t>
  </si>
  <si>
    <t>Gewinn</t>
  </si>
  <si>
    <t>Bemess.-grundl. GKV-Beitrag</t>
  </si>
  <si>
    <t>GKV - Beitrag</t>
  </si>
  <si>
    <t>PKV - Beitrag</t>
  </si>
  <si>
    <t>Verdienstgrenze</t>
  </si>
  <si>
    <t>ArbG-Zuschuss KV</t>
  </si>
  <si>
    <t>ArbG-Zuschuss PV</t>
  </si>
  <si>
    <t>Arbeitnehmeranteil gesamt</t>
  </si>
  <si>
    <t>Alter zw. 24-64 und kinderlos?</t>
  </si>
  <si>
    <t>ArbG-Zuschuss PKV</t>
  </si>
  <si>
    <t>ArbG-Zuschuss Pflegevers.</t>
  </si>
  <si>
    <t>Arbeitnehmeranteil</t>
  </si>
  <si>
    <t>Jahre</t>
  </si>
  <si>
    <t>JAEG</t>
  </si>
  <si>
    <t>BBG</t>
  </si>
  <si>
    <t>Jahr</t>
  </si>
  <si>
    <t>PV o. Kind</t>
  </si>
  <si>
    <t>Bem.-grundlage (BBG)</t>
  </si>
  <si>
    <t>ArbG-Anteil</t>
  </si>
  <si>
    <t>PV-Satz</t>
  </si>
  <si>
    <t>BBG Existenzgr.</t>
  </si>
  <si>
    <t>BBG Einkom-menlose</t>
  </si>
  <si>
    <t>BBG allgemein</t>
  </si>
  <si>
    <t>Pflegevers.</t>
  </si>
  <si>
    <t>Einheit-Satz GKV</t>
  </si>
  <si>
    <t>Existenzgründer</t>
  </si>
  <si>
    <t>BBG Selbständige (Härtefallregel)</t>
  </si>
  <si>
    <t>Mindest-BBG Selbständige</t>
  </si>
  <si>
    <t>Mind.-BBG Selbständ.</t>
  </si>
  <si>
    <t>Kinderlos?</t>
  </si>
  <si>
    <t>Beitragsberechnung GKV</t>
  </si>
  <si>
    <t>Standardtarif (PKV-Verträge vor 2009)</t>
  </si>
  <si>
    <t>Standard-tarif</t>
  </si>
  <si>
    <t>Einkünfte</t>
  </si>
  <si>
    <t>a) allgemein beitragspflichtig</t>
  </si>
  <si>
    <t>b) ermäßigt beitragspflichtig</t>
  </si>
  <si>
    <t>(-) Zuschuss BfA/LVA</t>
  </si>
  <si>
    <t>Beitrag im Standardtarif</t>
  </si>
  <si>
    <t>max.</t>
  </si>
  <si>
    <t>Höchst-beitrag</t>
  </si>
  <si>
    <t>Mindesteinkommen</t>
  </si>
  <si>
    <t>Betriebsrente</t>
  </si>
  <si>
    <t>BMG-Entw.</t>
  </si>
  <si>
    <t>davon Krankenersicherung</t>
  </si>
  <si>
    <t>ArbN</t>
  </si>
  <si>
    <t>ArbG</t>
  </si>
  <si>
    <t>Zuschlag seit 1.7.2005</t>
  </si>
  <si>
    <t>allgemeiner Beitrag</t>
  </si>
  <si>
    <t>Ø-Satz aller Kassen (Vorjahr)</t>
  </si>
  <si>
    <t>Zusatzbeitrag</t>
  </si>
  <si>
    <t>Jahr:</t>
  </si>
  <si>
    <t>Hier bitte fehlende Angaben selbst ergänzen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</si>
</sst>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Jahre&quot;"/>
    <numFmt numFmtId="166" formatCode="#,##0\ &quot;MB&quot;"/>
    <numFmt numFmtId="167" formatCode="#,##0\ &quot;Sitz.&quot;"/>
    <numFmt numFmtId="168" formatCode="#,##0.0\ &quot;MB&quot;"/>
    <numFmt numFmtId="169" formatCode="_-* #,##0.00\ &quot;DM&quot;_-;\-* #,##0.00\ &quot;DM&quot;_-;_-* &quot;-&quot;??\ &quot;DM&quot;_-;_-@_-"/>
    <numFmt numFmtId="170" formatCode="_-* #,##0.00\ &quot;Euro&quot;_-;\-* #,##0.00\ &quot;Euro&quot;_-;_-* &quot;-&quot;??\ &quot;Euro&quot;_-;_-@_-"/>
    <numFmt numFmtId="171" formatCode="_-* #,##0.00\ &quot;sfr&quot;_-;\-* #,##0.00\ &quot;sfr&quot;_-;_-* &quot;-&quot;??\ &quot;sfr&quot;_-;_-@_-"/>
    <numFmt numFmtId="172" formatCode="0.0000"/>
    <numFmt numFmtId="173" formatCode="0.00000"/>
    <numFmt numFmtId="174" formatCode="#,##0.00_ ;[Red]\-#,##0.00\ "/>
    <numFmt numFmtId="175" formatCode="#,##0\ &quot;Tage&quot;;"/>
    <numFmt numFmtId="176" formatCode="#,##0\ &quot;Euro&quot;;"/>
    <numFmt numFmtId="177" formatCode="mmmm"/>
    <numFmt numFmtId="178" formatCode="0.0"/>
    <numFmt numFmtId="179" formatCode="#,##0.00\ &quot;MB&quot;"/>
    <numFmt numFmtId="180" formatCode="mmm\ yyyy"/>
    <numFmt numFmtId="181" formatCode="#,##0.0"/>
    <numFmt numFmtId="182" formatCode="0.000000"/>
    <numFmt numFmtId="183" formatCode="0.000"/>
    <numFmt numFmtId="184" formatCode="#,##0\ &quot;Jahren&quot;"/>
    <numFmt numFmtId="185" formatCode="#,##0.00_ ;\-#,##0.00\ "/>
    <numFmt numFmtId="186" formatCode="[$-407]dddd\,\ d\.\ mmmm\ yyyy"/>
    <numFmt numFmtId="187" formatCode="#,##0\ &quot;fach&quot;"/>
    <numFmt numFmtId="188" formatCode="&quot;+&quot;\ 0.0%"/>
    <numFmt numFmtId="189" formatCode="#,##0\ &quot;qm&quot;"/>
    <numFmt numFmtId="190" formatCode="0.0000000"/>
    <numFmt numFmtId="191" formatCode="0.000000000"/>
    <numFmt numFmtId="192" formatCode="0.00000000"/>
    <numFmt numFmtId="193" formatCode="dd/mm/yy"/>
    <numFmt numFmtId="194" formatCode="#,##0.00000"/>
    <numFmt numFmtId="195" formatCode="yyyy"/>
    <numFmt numFmtId="196" formatCode="#,##0.000"/>
    <numFmt numFmtId="197" formatCode="#,##0.0000"/>
    <numFmt numFmtId="198" formatCode="#,##0.000_ ;[Red]\-#,##0.000\ "/>
    <numFmt numFmtId="199" formatCode="#,##0.0000_ ;[Red]\-#,##0.0000\ "/>
    <numFmt numFmtId="200" formatCode="#,##0.0\ &quot;fach&quot;"/>
    <numFmt numFmtId="201" formatCode="0_ ;\-0\ "/>
    <numFmt numFmtId="202" formatCode="#,##0_ ;\-#,##0\ "/>
    <numFmt numFmtId="203" formatCode="#,##0_ ;[Red]\-#,##0\ "/>
    <numFmt numFmtId="204" formatCode="#,##0.0\ &quot;€&quot;;\-#,##0.0\ &quot;€&quot;"/>
    <numFmt numFmtId="205" formatCode="0.000%"/>
    <numFmt numFmtId="206" formatCode="0#,##0"/>
    <numFmt numFmtId="207" formatCode="0#"/>
    <numFmt numFmtId="208" formatCode="&quot;ab &quot;#,##0&quot;. Tag&quot;"/>
    <numFmt numFmtId="209" formatCode="yy\ &quot;Jahre&quot;"/>
    <numFmt numFmtId="210" formatCode="#,##0&quot;. Tag&quot;"/>
    <numFmt numFmtId="211" formatCode="#,##0.000_ ;\-#,##0.000\ "/>
    <numFmt numFmtId="212" formatCode="#,##0.0000_ ;\-#,##0.0000\ "/>
    <numFmt numFmtId="213" formatCode="#,##0.000\ &quot;€&quot;;\-#,##0.000\ &quot;€&quot;"/>
    <numFmt numFmtId="214" formatCode="&quot;je &quot;#,##0\ &quot;Euro&quot;"/>
    <numFmt numFmtId="215" formatCode="#,##0.00\ &quot;Euro&quot;"/>
    <numFmt numFmtId="216" formatCode="#,##0\ &quot;€&quot;"/>
    <numFmt numFmtId="217" formatCode="#,##0.0\ &quot;€&quot;"/>
    <numFmt numFmtId="218" formatCode="#,##0.00\ &quot;€&quot;"/>
    <numFmt numFmtId="219" formatCode="#,##0.00\ &quot;Euro/&quot;"/>
    <numFmt numFmtId="220" formatCode="#,##0.0\ &quot;Jahre&quot;"/>
    <numFmt numFmtId="221" formatCode="#,##0.00000\ &quot;€&quot;;\-#,##0.00000\ &quot;€&quot;"/>
    <numFmt numFmtId="222" formatCode="#,##0.00\ &quot;€/&quot;"/>
    <numFmt numFmtId="223" formatCode="#,##0.0\ &quot;€&quot;;[Red]\-#,##0.0\ &quot;€&quot;"/>
  </numFmts>
  <fonts count="82">
    <font>
      <sz val="10"/>
      <name val="Verdana"/>
      <family val="0"/>
    </font>
    <font>
      <u val="single"/>
      <sz val="10"/>
      <color indexed="36"/>
      <name val="Verdana"/>
      <family val="2"/>
    </font>
    <font>
      <u val="single"/>
      <sz val="10"/>
      <color indexed="12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9"/>
      <color indexed="22"/>
      <name val="Verdana"/>
      <family val="2"/>
    </font>
    <font>
      <sz val="9"/>
      <color indexed="12"/>
      <name val="Verdana"/>
      <family val="2"/>
    </font>
    <font>
      <u val="single"/>
      <sz val="9"/>
      <name val="Verdana"/>
      <family val="2"/>
    </font>
    <font>
      <b/>
      <sz val="9"/>
      <name val="Verdana"/>
      <family val="2"/>
    </font>
    <font>
      <sz val="9"/>
      <color indexed="46"/>
      <name val="Verdana"/>
      <family val="2"/>
    </font>
    <font>
      <sz val="9"/>
      <color indexed="14"/>
      <name val="Verdana"/>
      <family val="2"/>
    </font>
    <font>
      <b/>
      <sz val="9"/>
      <color indexed="14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9"/>
      <color indexed="61"/>
      <name val="Verdana"/>
      <family val="2"/>
    </font>
    <font>
      <sz val="10"/>
      <color indexed="12"/>
      <name val="Verdana"/>
      <family val="2"/>
    </font>
    <font>
      <u val="single"/>
      <sz val="8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9"/>
      <color indexed="14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sz val="9"/>
      <color indexed="12"/>
      <name val="Tahoma"/>
      <family val="2"/>
    </font>
    <font>
      <sz val="9"/>
      <color indexed="23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u val="single"/>
      <sz val="9"/>
      <name val="Tahoma"/>
      <family val="2"/>
    </font>
    <font>
      <sz val="9"/>
      <color indexed="46"/>
      <name val="Tahoma"/>
      <family val="2"/>
    </font>
    <font>
      <b/>
      <sz val="8"/>
      <name val="Tahoma"/>
      <family val="2"/>
    </font>
    <font>
      <i/>
      <u val="single"/>
      <sz val="9"/>
      <name val="Tahoma"/>
      <family val="2"/>
    </font>
    <font>
      <b/>
      <i/>
      <sz val="8"/>
      <name val="Tahoma"/>
      <family val="2"/>
    </font>
    <font>
      <sz val="9"/>
      <color indexed="61"/>
      <name val="Tahom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15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19"/>
      <name val="Verdana"/>
      <family val="2"/>
    </font>
    <font>
      <sz val="9"/>
      <color indexed="36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9"/>
      <color indexed="15"/>
      <name val="Verdana"/>
      <family val="2"/>
    </font>
    <font>
      <b/>
      <sz val="9"/>
      <color indexed="9"/>
      <name val="Verdana"/>
      <family val="2"/>
    </font>
    <font>
      <sz val="8"/>
      <color indexed="23"/>
      <name val="Verdana"/>
      <family val="2"/>
    </font>
    <font>
      <sz val="9"/>
      <color indexed="23"/>
      <name val="Verdana"/>
      <family val="2"/>
    </font>
    <font>
      <sz val="9"/>
      <color indexed="22"/>
      <name val="Tahoma"/>
      <family val="2"/>
    </font>
    <font>
      <i/>
      <sz val="8"/>
      <color indexed="63"/>
      <name val="Tahoma"/>
      <family val="2"/>
    </font>
    <font>
      <sz val="8"/>
      <name val="Tahoma"/>
      <family val="2"/>
    </font>
    <font>
      <sz val="6.25"/>
      <color indexed="8"/>
      <name val="Verdana"/>
      <family val="0"/>
    </font>
    <font>
      <sz val="8"/>
      <color indexed="8"/>
      <name val="Verdana"/>
      <family val="0"/>
    </font>
    <font>
      <sz val="8"/>
      <color indexed="8"/>
      <name val="Arial"/>
      <family val="0"/>
    </font>
    <font>
      <sz val="8"/>
      <color indexed="8"/>
      <name val="Tahoma"/>
      <family val="0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9"/>
      <color rgb="FFEAEAEA"/>
      <name val="Verdana"/>
      <family val="2"/>
    </font>
    <font>
      <sz val="8"/>
      <color theme="1" tint="0.49998000264167786"/>
      <name val="Verdana"/>
      <family val="2"/>
    </font>
    <font>
      <sz val="9"/>
      <color theme="1" tint="0.49998000264167786"/>
      <name val="Verdana"/>
      <family val="2"/>
    </font>
    <font>
      <sz val="9"/>
      <color theme="0" tint="-0.4999699890613556"/>
      <name val="Verdana"/>
      <family val="2"/>
    </font>
    <font>
      <sz val="9"/>
      <color theme="0" tint="-0.04997999966144562"/>
      <name val="Tahoma"/>
      <family val="2"/>
    </font>
    <font>
      <sz val="9"/>
      <color theme="1" tint="0.49998000264167786"/>
      <name val="Tahoma"/>
      <family val="2"/>
    </font>
    <font>
      <i/>
      <sz val="8"/>
      <color theme="1" tint="0.34999001026153564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0"/>
      </left>
      <right style="thin">
        <color indexed="22"/>
      </right>
      <top style="thin">
        <color indexed="20"/>
      </top>
      <bottom style="thin">
        <color indexed="22"/>
      </bottom>
    </border>
    <border>
      <left style="thin">
        <color indexed="20"/>
      </left>
      <right style="thin">
        <color indexed="9"/>
      </right>
      <top style="thin">
        <color indexed="20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ashed">
        <color indexed="20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 tint="0.49998000264167786"/>
      </left>
      <right style="thin">
        <color theme="0"/>
      </right>
      <top style="thin">
        <color theme="1" tint="0.49998000264167786"/>
      </top>
      <bottom style="thin">
        <color theme="0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AEAEA"/>
      </bottom>
    </border>
    <border>
      <left>
        <color indexed="63"/>
      </left>
      <right>
        <color indexed="63"/>
      </right>
      <top style="thin">
        <color rgb="FFEAEAEA"/>
      </top>
      <bottom style="thin">
        <color rgb="FFEAEAEA"/>
      </bottom>
    </border>
    <border>
      <left>
        <color indexed="63"/>
      </left>
      <right>
        <color indexed="63"/>
      </right>
      <top style="thin">
        <color rgb="FFEAEAEA"/>
      </top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medium">
        <color indexed="22"/>
      </bottom>
    </border>
    <border>
      <left style="thin">
        <color indexed="55"/>
      </left>
      <right style="thin">
        <color indexed="9"/>
      </right>
      <top style="thin">
        <color indexed="55"/>
      </top>
      <bottom style="thin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4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262">
    <xf numFmtId="0" fontId="0" fillId="0" borderId="0" xfId="0" applyAlignment="1">
      <alignment/>
    </xf>
    <xf numFmtId="0" fontId="3" fillId="33" borderId="0" xfId="54" applyFont="1" applyFill="1" applyAlignment="1">
      <alignment horizontal="left" indent="1"/>
      <protection/>
    </xf>
    <xf numFmtId="0" fontId="3" fillId="0" borderId="0" xfId="0" applyFont="1" applyAlignment="1">
      <alignment/>
    </xf>
    <xf numFmtId="0" fontId="3" fillId="33" borderId="0" xfId="54" applyFont="1" applyFill="1">
      <alignment/>
      <protection/>
    </xf>
    <xf numFmtId="0" fontId="3" fillId="0" borderId="0" xfId="54" applyFont="1" applyBorder="1">
      <alignment/>
      <protection/>
    </xf>
    <xf numFmtId="0" fontId="5" fillId="0" borderId="0" xfId="54" applyFont="1" applyBorder="1">
      <alignment/>
      <protection/>
    </xf>
    <xf numFmtId="0" fontId="3" fillId="33" borderId="0" xfId="54" applyFont="1" applyFill="1" applyAlignment="1">
      <alignment horizontal="left" indent="1"/>
      <protection/>
    </xf>
    <xf numFmtId="0" fontId="7" fillId="33" borderId="0" xfId="54" applyFont="1" applyFill="1" applyAlignment="1">
      <alignment/>
      <protection/>
    </xf>
    <xf numFmtId="0" fontId="3" fillId="33" borderId="0" xfId="54" applyFont="1" applyFill="1" applyBorder="1">
      <alignment/>
      <protection/>
    </xf>
    <xf numFmtId="4" fontId="3" fillId="33" borderId="0" xfId="54" applyNumberFormat="1" applyFont="1" applyFill="1">
      <alignment/>
      <protection/>
    </xf>
    <xf numFmtId="0" fontId="3" fillId="0" borderId="0" xfId="54" applyFont="1">
      <alignment/>
      <protection/>
    </xf>
    <xf numFmtId="0" fontId="3" fillId="33" borderId="10" xfId="54" applyFont="1" applyFill="1" applyBorder="1" applyAlignment="1">
      <alignment horizontal="left" indent="1"/>
      <protection/>
    </xf>
    <xf numFmtId="4" fontId="3" fillId="33" borderId="10" xfId="54" applyNumberFormat="1" applyFont="1" applyFill="1" applyBorder="1">
      <alignment/>
      <protection/>
    </xf>
    <xf numFmtId="4" fontId="8" fillId="33" borderId="0" xfId="54" applyNumberFormat="1" applyFont="1" applyFill="1" applyBorder="1">
      <alignment/>
      <protection/>
    </xf>
    <xf numFmtId="0" fontId="8" fillId="33" borderId="0" xfId="54" applyFont="1" applyFill="1">
      <alignment/>
      <protection/>
    </xf>
    <xf numFmtId="0" fontId="3" fillId="33" borderId="0" xfId="54" applyFont="1" applyFill="1" applyBorder="1" applyAlignment="1">
      <alignment horizontal="left" indent="1"/>
      <protection/>
    </xf>
    <xf numFmtId="10" fontId="3" fillId="33" borderId="0" xfId="51" applyNumberFormat="1" applyFont="1" applyFill="1" applyAlignment="1">
      <alignment/>
    </xf>
    <xf numFmtId="185" fontId="3" fillId="33" borderId="10" xfId="54" applyNumberFormat="1" applyFont="1" applyFill="1" applyBorder="1" applyAlignment="1">
      <alignment horizontal="right"/>
      <protection/>
    </xf>
    <xf numFmtId="4" fontId="3" fillId="33" borderId="0" xfId="54" applyNumberFormat="1" applyFont="1" applyFill="1" applyBorder="1">
      <alignment/>
      <protection/>
    </xf>
    <xf numFmtId="0" fontId="7" fillId="33" borderId="0" xfId="54" applyFont="1" applyFill="1" applyBorder="1" applyAlignment="1">
      <alignment/>
      <protection/>
    </xf>
    <xf numFmtId="164" fontId="8" fillId="33" borderId="0" xfId="52" applyNumberFormat="1" applyFont="1" applyFill="1" applyBorder="1" applyAlignment="1">
      <alignment/>
    </xf>
    <xf numFmtId="0" fontId="3" fillId="33" borderId="10" xfId="54" applyFont="1" applyFill="1" applyBorder="1">
      <alignment/>
      <protection/>
    </xf>
    <xf numFmtId="0" fontId="9" fillId="33" borderId="0" xfId="54" applyFont="1" applyFill="1">
      <alignment/>
      <protection/>
    </xf>
    <xf numFmtId="0" fontId="3" fillId="33" borderId="0" xfId="54" applyFont="1" applyFill="1" applyAlignment="1">
      <alignment horizontal="left" indent="2"/>
      <protection/>
    </xf>
    <xf numFmtId="0" fontId="10" fillId="33" borderId="0" xfId="54" applyFont="1" applyFill="1" applyAlignment="1">
      <alignment horizontal="left" indent="1"/>
      <protection/>
    </xf>
    <xf numFmtId="0" fontId="8" fillId="33" borderId="0" xfId="54" applyFont="1" applyFill="1" applyAlignment="1">
      <alignment horizontal="left" indent="1"/>
      <protection/>
    </xf>
    <xf numFmtId="0" fontId="11" fillId="0" borderId="0" xfId="0" applyFont="1" applyAlignment="1">
      <alignment/>
    </xf>
    <xf numFmtId="0" fontId="3" fillId="33" borderId="0" xfId="54" applyFont="1" applyFill="1" applyBorder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6" fillId="33" borderId="0" xfId="48" applyFont="1" applyFill="1" applyBorder="1" applyAlignment="1" applyProtection="1">
      <alignment horizontal="center"/>
      <protection/>
    </xf>
    <xf numFmtId="0" fontId="8" fillId="33" borderId="0" xfId="54" applyFont="1" applyFill="1" applyAlignment="1">
      <alignment/>
      <protection/>
    </xf>
    <xf numFmtId="7" fontId="3" fillId="33" borderId="0" xfId="54" applyNumberFormat="1" applyFont="1" applyFill="1" applyBorder="1">
      <alignment/>
      <protection/>
    </xf>
    <xf numFmtId="0" fontId="3" fillId="33" borderId="0" xfId="54" applyFont="1" applyFill="1" applyBorder="1" applyAlignment="1">
      <alignment/>
      <protection/>
    </xf>
    <xf numFmtId="0" fontId="9" fillId="0" borderId="0" xfId="54" applyFont="1" applyFill="1" applyBorder="1">
      <alignment/>
      <protection/>
    </xf>
    <xf numFmtId="0" fontId="9" fillId="0" borderId="0" xfId="54" applyFont="1" applyFill="1" applyAlignment="1">
      <alignment horizontal="right"/>
      <protection/>
    </xf>
    <xf numFmtId="0" fontId="9" fillId="0" borderId="0" xfId="54" applyFont="1" applyBorder="1">
      <alignment/>
      <protection/>
    </xf>
    <xf numFmtId="174" fontId="9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3" fillId="0" borderId="0" xfId="54" applyFont="1" applyFill="1">
      <alignment/>
      <protection/>
    </xf>
    <xf numFmtId="0" fontId="3" fillId="0" borderId="0" xfId="54" applyFont="1" applyFill="1" applyBorder="1">
      <alignment/>
      <protection/>
    </xf>
    <xf numFmtId="10" fontId="3" fillId="33" borderId="0" xfId="52" applyNumberFormat="1" applyFont="1" applyFill="1" applyBorder="1" applyAlignment="1">
      <alignment/>
    </xf>
    <xf numFmtId="0" fontId="14" fillId="33" borderId="0" xfId="54" applyFont="1" applyFill="1" applyBorder="1">
      <alignment/>
      <protection/>
    </xf>
    <xf numFmtId="0" fontId="6" fillId="33" borderId="0" xfId="54" applyFont="1" applyFill="1" applyBorder="1" applyAlignment="1">
      <alignment/>
      <protection/>
    </xf>
    <xf numFmtId="0" fontId="3" fillId="33" borderId="0" xfId="0" applyFont="1" applyFill="1" applyAlignment="1">
      <alignment/>
    </xf>
    <xf numFmtId="4" fontId="8" fillId="33" borderId="0" xfId="54" applyNumberFormat="1" applyFont="1" applyFill="1">
      <alignment/>
      <protection/>
    </xf>
    <xf numFmtId="0" fontId="15" fillId="0" borderId="0" xfId="48" applyFont="1" applyAlignment="1" applyProtection="1">
      <alignment/>
      <protection/>
    </xf>
    <xf numFmtId="0" fontId="5" fillId="0" borderId="0" xfId="54" applyFont="1" applyProtection="1">
      <alignment/>
      <protection locked="0"/>
    </xf>
    <xf numFmtId="0" fontId="5" fillId="0" borderId="0" xfId="54" applyFont="1" applyAlignment="1" applyProtection="1">
      <alignment horizontal="right"/>
      <protection locked="0"/>
    </xf>
    <xf numFmtId="0" fontId="3" fillId="0" borderId="0" xfId="54" applyFont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" fontId="5" fillId="0" borderId="0" xfId="54" applyNumberFormat="1" applyFont="1" applyProtection="1">
      <alignment/>
      <protection locked="0"/>
    </xf>
    <xf numFmtId="2" fontId="3" fillId="0" borderId="0" xfId="54" applyNumberFormat="1" applyFont="1" applyBorder="1" applyProtection="1">
      <alignment/>
      <protection locked="0"/>
    </xf>
    <xf numFmtId="0" fontId="3" fillId="0" borderId="0" xfId="54" applyFont="1" applyProtection="1">
      <alignment/>
      <protection locked="0"/>
    </xf>
    <xf numFmtId="0" fontId="6" fillId="33" borderId="0" xfId="54" applyFont="1" applyFill="1" applyBorder="1" applyAlignment="1" applyProtection="1">
      <alignment horizontal="right"/>
      <protection locked="0"/>
    </xf>
    <xf numFmtId="4" fontId="3" fillId="0" borderId="0" xfId="54" applyNumberFormat="1" applyFont="1" applyFill="1" applyBorder="1" applyProtection="1">
      <alignment/>
      <protection locked="0"/>
    </xf>
    <xf numFmtId="0" fontId="3" fillId="0" borderId="0" xfId="54" applyFont="1" applyFill="1" applyProtection="1">
      <alignment/>
      <protection locked="0"/>
    </xf>
    <xf numFmtId="164" fontId="3" fillId="0" borderId="11" xfId="52" applyNumberFormat="1" applyFont="1" applyFill="1" applyBorder="1" applyAlignment="1" applyProtection="1">
      <alignment/>
      <protection locked="0"/>
    </xf>
    <xf numFmtId="0" fontId="6" fillId="33" borderId="0" xfId="54" applyFont="1" applyFill="1" applyBorder="1" applyAlignment="1" applyProtection="1">
      <alignment horizontal="center"/>
      <protection locked="0"/>
    </xf>
    <xf numFmtId="4" fontId="3" fillId="0" borderId="12" xfId="54" applyNumberFormat="1" applyFont="1" applyFill="1" applyBorder="1" applyProtection="1">
      <alignment/>
      <protection locked="0"/>
    </xf>
    <xf numFmtId="10" fontId="3" fillId="33" borderId="10" xfId="52" applyNumberFormat="1" applyFont="1" applyFill="1" applyBorder="1" applyAlignment="1">
      <alignment/>
    </xf>
    <xf numFmtId="0" fontId="6" fillId="34" borderId="13" xfId="54" applyFont="1" applyFill="1" applyBorder="1" applyAlignment="1" applyProtection="1">
      <alignment horizontal="left" indent="1"/>
      <protection locked="0"/>
    </xf>
    <xf numFmtId="0" fontId="17" fillId="0" borderId="0" xfId="54" applyFont="1" applyFill="1" applyBorder="1">
      <alignment/>
      <protection/>
    </xf>
    <xf numFmtId="0" fontId="18" fillId="33" borderId="0" xfId="54" applyFont="1" applyFill="1" applyAlignment="1">
      <alignment horizontal="left" indent="1"/>
      <protection/>
    </xf>
    <xf numFmtId="164" fontId="18" fillId="33" borderId="0" xfId="52" applyNumberFormat="1" applyFont="1" applyFill="1" applyAlignment="1">
      <alignment/>
    </xf>
    <xf numFmtId="0" fontId="18" fillId="33" borderId="0" xfId="54" applyFont="1" applyFill="1">
      <alignment/>
      <protection/>
    </xf>
    <xf numFmtId="0" fontId="18" fillId="33" borderId="0" xfId="54" applyFont="1" applyFill="1" applyBorder="1" applyAlignment="1">
      <alignment horizontal="left" indent="1"/>
      <protection/>
    </xf>
    <xf numFmtId="0" fontId="13" fillId="33" borderId="0" xfId="54" applyFont="1" applyFill="1">
      <alignment/>
      <protection/>
    </xf>
    <xf numFmtId="4" fontId="18" fillId="33" borderId="0" xfId="54" applyNumberFormat="1" applyFont="1" applyFill="1" applyBorder="1">
      <alignment/>
      <protection/>
    </xf>
    <xf numFmtId="0" fontId="18" fillId="33" borderId="0" xfId="54" applyFont="1" applyFill="1" applyAlignment="1">
      <alignment horizontal="left" indent="1"/>
      <protection/>
    </xf>
    <xf numFmtId="0" fontId="18" fillId="33" borderId="0" xfId="54" applyFont="1" applyFill="1">
      <alignment/>
      <protection/>
    </xf>
    <xf numFmtId="4" fontId="18" fillId="33" borderId="0" xfId="54" applyNumberFormat="1" applyFont="1" applyFill="1" applyBorder="1">
      <alignment/>
      <protection/>
    </xf>
    <xf numFmtId="0" fontId="3" fillId="33" borderId="0" xfId="54" applyFont="1" applyFill="1" applyAlignment="1">
      <alignment/>
      <protection/>
    </xf>
    <xf numFmtId="0" fontId="6" fillId="33" borderId="0" xfId="54" applyFont="1" applyFill="1" applyBorder="1" applyAlignment="1">
      <alignment horizontal="center"/>
      <protection/>
    </xf>
    <xf numFmtId="164" fontId="3" fillId="33" borderId="0" xfId="54" applyNumberFormat="1" applyFont="1" applyFill="1" applyBorder="1">
      <alignment/>
      <protection/>
    </xf>
    <xf numFmtId="4" fontId="3" fillId="0" borderId="14" xfId="54" applyNumberFormat="1" applyFont="1" applyFill="1" applyBorder="1">
      <alignment/>
      <protection/>
    </xf>
    <xf numFmtId="0" fontId="18" fillId="33" borderId="0" xfId="54" applyFont="1" applyFill="1" applyAlignment="1">
      <alignment/>
      <protection/>
    </xf>
    <xf numFmtId="4" fontId="18" fillId="33" borderId="0" xfId="54" applyNumberFormat="1" applyFont="1" applyFill="1">
      <alignment/>
      <protection/>
    </xf>
    <xf numFmtId="7" fontId="18" fillId="33" borderId="0" xfId="54" applyNumberFormat="1" applyFont="1" applyFill="1" applyBorder="1">
      <alignment/>
      <protection/>
    </xf>
    <xf numFmtId="7" fontId="8" fillId="33" borderId="0" xfId="54" applyNumberFormat="1" applyFont="1" applyFill="1" applyBorder="1">
      <alignment/>
      <protection/>
    </xf>
    <xf numFmtId="0" fontId="12" fillId="33" borderId="0" xfId="0" applyFont="1" applyFill="1" applyAlignment="1">
      <alignment/>
    </xf>
    <xf numFmtId="0" fontId="8" fillId="33" borderId="0" xfId="54" applyFont="1" applyFill="1" applyBorder="1" applyAlignment="1">
      <alignment/>
      <protection/>
    </xf>
    <xf numFmtId="0" fontId="3" fillId="35" borderId="15" xfId="54" applyFont="1" applyFill="1" applyBorder="1" applyAlignment="1">
      <alignment horizontal="left" indent="1"/>
      <protection/>
    </xf>
    <xf numFmtId="0" fontId="3" fillId="35" borderId="16" xfId="54" applyFont="1" applyFill="1" applyBorder="1">
      <alignment/>
      <protection/>
    </xf>
    <xf numFmtId="2" fontId="59" fillId="0" borderId="0" xfId="54" applyNumberFormat="1" applyFont="1" applyFill="1" applyAlignment="1">
      <alignment horizontal="left"/>
      <protection/>
    </xf>
    <xf numFmtId="0" fontId="59" fillId="0" borderId="0" xfId="54" applyFont="1" applyFill="1" applyAlignment="1">
      <alignment horizontal="left"/>
      <protection/>
    </xf>
    <xf numFmtId="0" fontId="73" fillId="0" borderId="0" xfId="54" applyFont="1" applyFill="1" applyBorder="1">
      <alignment/>
      <protection/>
    </xf>
    <xf numFmtId="0" fontId="73" fillId="0" borderId="0" xfId="0" applyFont="1" applyFill="1" applyAlignment="1">
      <alignment/>
    </xf>
    <xf numFmtId="0" fontId="73" fillId="0" borderId="0" xfId="0" applyFont="1" applyAlignment="1">
      <alignment/>
    </xf>
    <xf numFmtId="0" fontId="73" fillId="0" borderId="0" xfId="54" applyFont="1" applyFill="1">
      <alignment/>
      <protection/>
    </xf>
    <xf numFmtId="0" fontId="3" fillId="0" borderId="0" xfId="54" applyFont="1">
      <alignment/>
      <protection/>
    </xf>
    <xf numFmtId="7" fontId="3" fillId="0" borderId="0" xfId="54" applyNumberFormat="1" applyFont="1" applyFill="1" applyAlignment="1">
      <alignment horizontal="right"/>
      <protection/>
    </xf>
    <xf numFmtId="0" fontId="75" fillId="33" borderId="0" xfId="54" applyFont="1" applyFill="1">
      <alignment/>
      <protection/>
    </xf>
    <xf numFmtId="164" fontId="3" fillId="0" borderId="0" xfId="51" applyNumberFormat="1" applyFont="1" applyBorder="1" applyAlignment="1">
      <alignment/>
    </xf>
    <xf numFmtId="4" fontId="3" fillId="0" borderId="0" xfId="54" applyNumberFormat="1" applyFont="1" applyFill="1">
      <alignment/>
      <protection/>
    </xf>
    <xf numFmtId="4" fontId="3" fillId="0" borderId="0" xfId="54" applyNumberFormat="1" applyFont="1" applyBorder="1">
      <alignment/>
      <protection/>
    </xf>
    <xf numFmtId="4" fontId="3" fillId="0" borderId="0" xfId="0" applyNumberFormat="1" applyFont="1" applyAlignment="1">
      <alignment/>
    </xf>
    <xf numFmtId="0" fontId="3" fillId="33" borderId="0" xfId="54" applyFont="1" applyFill="1" applyBorder="1" applyAlignment="1">
      <alignment horizontal="left" indent="1"/>
      <protection/>
    </xf>
    <xf numFmtId="0" fontId="3" fillId="33" borderId="10" xfId="54" applyFont="1" applyFill="1" applyBorder="1" applyAlignment="1">
      <alignment horizontal="left" indent="1"/>
      <protection/>
    </xf>
    <xf numFmtId="4" fontId="13" fillId="0" borderId="0" xfId="54" applyNumberFormat="1" applyFont="1" applyProtection="1">
      <alignment/>
      <protection locked="0"/>
    </xf>
    <xf numFmtId="4" fontId="13" fillId="0" borderId="0" xfId="54" applyNumberFormat="1" applyFont="1" applyAlignment="1" applyProtection="1">
      <alignment horizontal="right"/>
      <protection locked="0"/>
    </xf>
    <xf numFmtId="10" fontId="3" fillId="0" borderId="0" xfId="54" applyNumberFormat="1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3" fillId="0" borderId="0" xfId="54" applyFont="1" applyProtection="1">
      <alignment/>
      <protection locked="0"/>
    </xf>
    <xf numFmtId="4" fontId="3" fillId="0" borderId="0" xfId="54" applyNumberFormat="1" applyFont="1" applyProtection="1">
      <alignment/>
      <protection locked="0"/>
    </xf>
    <xf numFmtId="10" fontId="18" fillId="33" borderId="0" xfId="54" applyNumberFormat="1" applyFont="1" applyFill="1">
      <alignment/>
      <protection/>
    </xf>
    <xf numFmtId="185" fontId="3" fillId="33" borderId="0" xfId="54" applyNumberFormat="1" applyFont="1" applyFill="1" applyBorder="1" applyAlignment="1">
      <alignment horizontal="right"/>
      <protection/>
    </xf>
    <xf numFmtId="4" fontId="18" fillId="33" borderId="17" xfId="54" applyNumberFormat="1" applyFont="1" applyFill="1" applyBorder="1" applyAlignment="1">
      <alignment horizontal="right"/>
      <protection/>
    </xf>
    <xf numFmtId="10" fontId="13" fillId="33" borderId="0" xfId="51" applyNumberFormat="1" applyFont="1" applyFill="1" applyAlignment="1">
      <alignment/>
    </xf>
    <xf numFmtId="10" fontId="13" fillId="33" borderId="0" xfId="51" applyNumberFormat="1" applyFont="1" applyFill="1" applyBorder="1" applyAlignment="1">
      <alignment/>
    </xf>
    <xf numFmtId="10" fontId="3" fillId="0" borderId="0" xfId="52" applyNumberFormat="1" applyFont="1" applyFill="1" applyBorder="1" applyAlignment="1" applyProtection="1">
      <alignment/>
      <protection locked="0"/>
    </xf>
    <xf numFmtId="10" fontId="13" fillId="33" borderId="10" xfId="51" applyNumberFormat="1" applyFont="1" applyFill="1" applyBorder="1" applyAlignment="1">
      <alignment/>
    </xf>
    <xf numFmtId="0" fontId="76" fillId="33" borderId="0" xfId="0" applyFont="1" applyFill="1" applyAlignment="1">
      <alignment/>
    </xf>
    <xf numFmtId="4" fontId="76" fillId="33" borderId="0" xfId="54" applyNumberFormat="1" applyFont="1" applyFill="1">
      <alignment/>
      <protection/>
    </xf>
    <xf numFmtId="0" fontId="76" fillId="33" borderId="0" xfId="54" applyFont="1" applyFill="1">
      <alignment/>
      <protection/>
    </xf>
    <xf numFmtId="0" fontId="6" fillId="33" borderId="18" xfId="54" applyFont="1" applyFill="1" applyBorder="1" applyAlignment="1">
      <alignment horizontal="right"/>
      <protection/>
    </xf>
    <xf numFmtId="0" fontId="59" fillId="0" borderId="0" xfId="54" applyFont="1" applyProtection="1">
      <alignment/>
      <protection locked="0"/>
    </xf>
    <xf numFmtId="0" fontId="59" fillId="0" borderId="0" xfId="0" applyFont="1" applyAlignment="1">
      <alignment horizontal="right"/>
    </xf>
    <xf numFmtId="0" fontId="59" fillId="0" borderId="0" xfId="54" applyFont="1" applyAlignment="1" applyProtection="1">
      <alignment horizontal="right"/>
      <protection locked="0"/>
    </xf>
    <xf numFmtId="4" fontId="59" fillId="0" borderId="0" xfId="0" applyNumberFormat="1" applyFont="1" applyAlignment="1">
      <alignment/>
    </xf>
    <xf numFmtId="4" fontId="59" fillId="0" borderId="0" xfId="54" applyNumberFormat="1" applyFont="1" applyProtection="1">
      <alignment/>
      <protection locked="0"/>
    </xf>
    <xf numFmtId="0" fontId="10" fillId="33" borderId="17" xfId="54" applyFont="1" applyFill="1" applyBorder="1" applyAlignment="1">
      <alignment horizontal="left" indent="1"/>
      <protection/>
    </xf>
    <xf numFmtId="0" fontId="18" fillId="33" borderId="0" xfId="54" applyFont="1" applyFill="1" applyBorder="1" applyAlignment="1">
      <alignment horizontal="left" indent="1"/>
      <protection/>
    </xf>
    <xf numFmtId="4" fontId="18" fillId="33" borderId="17" xfId="54" applyNumberFormat="1" applyFont="1" applyFill="1" applyBorder="1">
      <alignment/>
      <protection/>
    </xf>
    <xf numFmtId="0" fontId="3" fillId="0" borderId="0" xfId="0" applyFont="1" applyBorder="1" applyAlignment="1">
      <alignment horizontal="center"/>
    </xf>
    <xf numFmtId="164" fontId="3" fillId="0" borderId="0" xfId="51" applyNumberFormat="1" applyFont="1" applyFill="1" applyBorder="1" applyAlignment="1">
      <alignment horizontal="center"/>
    </xf>
    <xf numFmtId="10" fontId="3" fillId="0" borderId="0" xfId="5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36" borderId="0" xfId="0" applyFont="1" applyFill="1" applyBorder="1" applyAlignment="1">
      <alignment horizontal="center"/>
    </xf>
    <xf numFmtId="3" fontId="3" fillId="36" borderId="0" xfId="0" applyNumberFormat="1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3" fillId="36" borderId="19" xfId="0" applyFont="1" applyFill="1" applyBorder="1" applyAlignment="1">
      <alignment/>
    </xf>
    <xf numFmtId="0" fontId="3" fillId="36" borderId="20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3" fontId="3" fillId="36" borderId="0" xfId="0" applyNumberFormat="1" applyFont="1" applyFill="1" applyBorder="1" applyAlignment="1">
      <alignment/>
    </xf>
    <xf numFmtId="0" fontId="6" fillId="33" borderId="18" xfId="54" applyFont="1" applyFill="1" applyBorder="1" applyAlignment="1">
      <alignment horizontal="center"/>
      <protection/>
    </xf>
    <xf numFmtId="0" fontId="3" fillId="0" borderId="0" xfId="54" applyFont="1" applyFill="1" applyAlignment="1">
      <alignment horizontal="left" indent="2"/>
      <protection/>
    </xf>
    <xf numFmtId="0" fontId="3" fillId="36" borderId="21" xfId="0" applyFont="1" applyFill="1" applyBorder="1" applyAlignment="1">
      <alignment horizontal="center" wrapText="1"/>
    </xf>
    <xf numFmtId="0" fontId="3" fillId="36" borderId="22" xfId="0" applyFont="1" applyFill="1" applyBorder="1" applyAlignment="1">
      <alignment horizontal="center" wrapText="1"/>
    </xf>
    <xf numFmtId="0" fontId="3" fillId="36" borderId="23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left"/>
    </xf>
    <xf numFmtId="10" fontId="3" fillId="0" borderId="0" xfId="51" applyNumberFormat="1" applyFont="1" applyFill="1" applyBorder="1" applyAlignment="1" quotePrefix="1">
      <alignment horizontal="center"/>
    </xf>
    <xf numFmtId="5" fontId="59" fillId="0" borderId="0" xfId="54" applyNumberFormat="1" applyFont="1" applyFill="1" applyAlignment="1">
      <alignment horizontal="right"/>
      <protection/>
    </xf>
    <xf numFmtId="0" fontId="7" fillId="33" borderId="24" xfId="54" applyFont="1" applyFill="1" applyBorder="1" applyAlignment="1">
      <alignment/>
      <protection/>
    </xf>
    <xf numFmtId="164" fontId="8" fillId="33" borderId="24" xfId="52" applyNumberFormat="1" applyFont="1" applyFill="1" applyBorder="1" applyAlignment="1">
      <alignment/>
    </xf>
    <xf numFmtId="4" fontId="8" fillId="33" borderId="24" xfId="54" applyNumberFormat="1" applyFont="1" applyFill="1" applyBorder="1">
      <alignment/>
      <protection/>
    </xf>
    <xf numFmtId="0" fontId="3" fillId="33" borderId="24" xfId="54" applyFont="1" applyFill="1" applyBorder="1">
      <alignment/>
      <protection/>
    </xf>
    <xf numFmtId="0" fontId="3" fillId="36" borderId="25" xfId="0" applyFont="1" applyFill="1" applyBorder="1" applyAlignment="1">
      <alignment horizontal="center" wrapText="1"/>
    </xf>
    <xf numFmtId="0" fontId="3" fillId="0" borderId="0" xfId="0" applyFont="1" applyAlignment="1" applyProtection="1">
      <alignment/>
      <protection locked="0"/>
    </xf>
    <xf numFmtId="0" fontId="77" fillId="33" borderId="0" xfId="0" applyFont="1" applyFill="1" applyAlignment="1">
      <alignment horizontal="left" indent="1"/>
    </xf>
    <xf numFmtId="3" fontId="77" fillId="33" borderId="0" xfId="54" applyNumberFormat="1" applyFont="1" applyFill="1">
      <alignment/>
      <protection/>
    </xf>
    <xf numFmtId="0" fontId="77" fillId="33" borderId="0" xfId="54" applyFont="1" applyFill="1" applyAlignment="1">
      <alignment/>
      <protection/>
    </xf>
    <xf numFmtId="164" fontId="3" fillId="0" borderId="0" xfId="51" applyNumberFormat="1" applyFont="1" applyAlignment="1">
      <alignment/>
    </xf>
    <xf numFmtId="0" fontId="19" fillId="0" borderId="0" xfId="0" applyFont="1" applyAlignment="1">
      <alignment/>
    </xf>
    <xf numFmtId="0" fontId="78" fillId="0" borderId="0" xfId="0" applyFont="1" applyAlignment="1">
      <alignment horizontal="right"/>
    </xf>
    <xf numFmtId="0" fontId="13" fillId="33" borderId="24" xfId="54" applyFont="1" applyFill="1" applyBorder="1" applyAlignment="1">
      <alignment/>
      <protection/>
    </xf>
    <xf numFmtId="4" fontId="3" fillId="0" borderId="26" xfId="54" applyNumberFormat="1" applyFont="1" applyFill="1" applyBorder="1" applyProtection="1">
      <alignment/>
      <protection locked="0"/>
    </xf>
    <xf numFmtId="4" fontId="3" fillId="0" borderId="27" xfId="54" applyNumberFormat="1" applyFont="1" applyFill="1" applyBorder="1" applyProtection="1">
      <alignment/>
      <protection locked="0"/>
    </xf>
    <xf numFmtId="2" fontId="3" fillId="0" borderId="28" xfId="54" applyNumberFormat="1" applyFont="1" applyFill="1" applyBorder="1" applyProtection="1">
      <alignment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/>
    </xf>
    <xf numFmtId="0" fontId="23" fillId="33" borderId="0" xfId="48" applyFont="1" applyFill="1" applyBorder="1" applyAlignment="1" applyProtection="1">
      <alignment horizontal="center"/>
      <protection/>
    </xf>
    <xf numFmtId="0" fontId="21" fillId="33" borderId="0" xfId="54" applyFont="1" applyFill="1" applyBorder="1">
      <alignment/>
      <protection/>
    </xf>
    <xf numFmtId="0" fontId="21" fillId="33" borderId="0" xfId="54" applyFont="1" applyFill="1" applyBorder="1" applyAlignment="1">
      <alignment horizontal="center"/>
      <protection/>
    </xf>
    <xf numFmtId="0" fontId="79" fillId="37" borderId="0" xfId="54" applyFont="1" applyFill="1">
      <alignment/>
      <protection/>
    </xf>
    <xf numFmtId="0" fontId="79" fillId="37" borderId="0" xfId="0" applyFont="1" applyFill="1" applyAlignment="1">
      <alignment/>
    </xf>
    <xf numFmtId="0" fontId="21" fillId="0" borderId="0" xfId="54" applyFont="1" applyFill="1">
      <alignment/>
      <protection/>
    </xf>
    <xf numFmtId="0" fontId="21" fillId="33" borderId="0" xfId="54" applyFont="1" applyFill="1" applyAlignment="1">
      <alignment horizontal="left" indent="1"/>
      <protection/>
    </xf>
    <xf numFmtId="0" fontId="23" fillId="33" borderId="0" xfId="54" applyFont="1" applyFill="1" applyBorder="1" applyAlignment="1">
      <alignment horizontal="center"/>
      <protection/>
    </xf>
    <xf numFmtId="0" fontId="21" fillId="33" borderId="0" xfId="0" applyFont="1" applyFill="1" applyAlignment="1">
      <alignment/>
    </xf>
    <xf numFmtId="0" fontId="79" fillId="37" borderId="0" xfId="54" applyFont="1" applyFill="1" applyBorder="1" applyAlignment="1">
      <alignment/>
      <protection/>
    </xf>
    <xf numFmtId="0" fontId="21" fillId="33" borderId="0" xfId="54" applyFont="1" applyFill="1" applyBorder="1" applyAlignment="1">
      <alignment horizontal="left" indent="1"/>
      <protection/>
    </xf>
    <xf numFmtId="0" fontId="23" fillId="33" borderId="29" xfId="54" applyFont="1" applyFill="1" applyBorder="1" applyAlignment="1">
      <alignment horizontal="center"/>
      <protection/>
    </xf>
    <xf numFmtId="0" fontId="21" fillId="33" borderId="0" xfId="54" applyFont="1" applyFill="1" applyBorder="1" applyAlignment="1">
      <alignment/>
      <protection/>
    </xf>
    <xf numFmtId="0" fontId="79" fillId="37" borderId="0" xfId="54" applyFont="1" applyFill="1" applyAlignment="1">
      <alignment horizontal="right"/>
      <protection/>
    </xf>
    <xf numFmtId="0" fontId="21" fillId="33" borderId="0" xfId="54" applyFont="1" applyFill="1">
      <alignment/>
      <protection/>
    </xf>
    <xf numFmtId="4" fontId="79" fillId="37" borderId="0" xfId="54" applyNumberFormat="1" applyFont="1" applyFill="1">
      <alignment/>
      <protection/>
    </xf>
    <xf numFmtId="0" fontId="24" fillId="33" borderId="0" xfId="54" applyFont="1" applyFill="1" applyAlignment="1">
      <alignment horizontal="right" indent="1"/>
      <protection/>
    </xf>
    <xf numFmtId="2" fontId="24" fillId="33" borderId="0" xfId="54" applyNumberFormat="1" applyFont="1" applyFill="1" applyAlignment="1">
      <alignment horizontal="right"/>
      <protection/>
    </xf>
    <xf numFmtId="0" fontId="80" fillId="33" borderId="0" xfId="54" applyFont="1" applyFill="1">
      <alignment/>
      <protection/>
    </xf>
    <xf numFmtId="0" fontId="25" fillId="35" borderId="17" xfId="54" applyFont="1" applyFill="1" applyBorder="1" applyAlignment="1">
      <alignment horizontal="left" indent="1"/>
      <protection/>
    </xf>
    <xf numFmtId="0" fontId="21" fillId="33" borderId="30" xfId="54" applyFont="1" applyFill="1" applyBorder="1">
      <alignment/>
      <protection/>
    </xf>
    <xf numFmtId="0" fontId="21" fillId="33" borderId="10" xfId="54" applyFont="1" applyFill="1" applyBorder="1" applyAlignment="1">
      <alignment horizontal="left" indent="1"/>
      <protection/>
    </xf>
    <xf numFmtId="0" fontId="21" fillId="33" borderId="0" xfId="54" applyFont="1" applyFill="1" applyAlignment="1">
      <alignment/>
      <protection/>
    </xf>
    <xf numFmtId="4" fontId="21" fillId="0" borderId="26" xfId="54" applyNumberFormat="1" applyFont="1" applyFill="1" applyBorder="1">
      <alignment/>
      <protection/>
    </xf>
    <xf numFmtId="0" fontId="21" fillId="33" borderId="0" xfId="54" applyFont="1" applyFill="1" applyAlignment="1">
      <alignment horizontal="left"/>
      <protection/>
    </xf>
    <xf numFmtId="4" fontId="21" fillId="0" borderId="27" xfId="54" applyNumberFormat="1" applyFont="1" applyFill="1" applyBorder="1">
      <alignment/>
      <protection/>
    </xf>
    <xf numFmtId="3" fontId="21" fillId="0" borderId="0" xfId="54" applyNumberFormat="1" applyFont="1" applyFill="1" applyBorder="1">
      <alignment/>
      <protection/>
    </xf>
    <xf numFmtId="4" fontId="21" fillId="33" borderId="27" xfId="54" applyNumberFormat="1" applyFont="1" applyFill="1" applyBorder="1">
      <alignment/>
      <protection/>
    </xf>
    <xf numFmtId="0" fontId="21" fillId="33" borderId="10" xfId="54" applyFont="1" applyFill="1" applyBorder="1" applyAlignment="1">
      <alignment/>
      <protection/>
    </xf>
    <xf numFmtId="0" fontId="21" fillId="33" borderId="10" xfId="54" applyFont="1" applyFill="1" applyBorder="1">
      <alignment/>
      <protection/>
    </xf>
    <xf numFmtId="4" fontId="21" fillId="0" borderId="28" xfId="54" applyNumberFormat="1" applyFont="1" applyFill="1" applyBorder="1">
      <alignment/>
      <protection/>
    </xf>
    <xf numFmtId="4" fontId="21" fillId="33" borderId="0" xfId="54" applyNumberFormat="1" applyFont="1" applyFill="1" applyBorder="1">
      <alignment/>
      <protection/>
    </xf>
    <xf numFmtId="4" fontId="21" fillId="0" borderId="10" xfId="54" applyNumberFormat="1" applyFont="1" applyFill="1" applyBorder="1">
      <alignment/>
      <protection/>
    </xf>
    <xf numFmtId="0" fontId="26" fillId="33" borderId="0" xfId="54" applyFont="1" applyFill="1" applyBorder="1" applyAlignment="1">
      <alignment horizontal="left" indent="1"/>
      <protection/>
    </xf>
    <xf numFmtId="2" fontId="26" fillId="33" borderId="0" xfId="54" applyNumberFormat="1" applyFont="1" applyFill="1" applyAlignment="1">
      <alignment horizontal="right"/>
      <protection/>
    </xf>
    <xf numFmtId="4" fontId="26" fillId="33" borderId="0" xfId="54" applyNumberFormat="1" applyFont="1" applyFill="1" applyBorder="1">
      <alignment/>
      <protection/>
    </xf>
    <xf numFmtId="9" fontId="21" fillId="33" borderId="0" xfId="52" applyNumberFormat="1" applyFont="1" applyFill="1" applyBorder="1" applyAlignment="1">
      <alignment/>
    </xf>
    <xf numFmtId="0" fontId="21" fillId="33" borderId="0" xfId="0" applyFont="1" applyFill="1" applyAlignment="1">
      <alignment horizontal="left" vertical="center" indent="1"/>
    </xf>
    <xf numFmtId="164" fontId="21" fillId="0" borderId="31" xfId="52" applyNumberFormat="1" applyFont="1" applyFill="1" applyBorder="1" applyAlignment="1">
      <alignment/>
    </xf>
    <xf numFmtId="0" fontId="27" fillId="33" borderId="0" xfId="54" applyFont="1" applyFill="1" applyBorder="1" applyAlignment="1">
      <alignment horizontal="left" indent="1"/>
      <protection/>
    </xf>
    <xf numFmtId="9" fontId="21" fillId="33" borderId="10" xfId="52" applyNumberFormat="1" applyFont="1" applyFill="1" applyBorder="1" applyAlignment="1">
      <alignment/>
    </xf>
    <xf numFmtId="4" fontId="21" fillId="33" borderId="10" xfId="54" applyNumberFormat="1" applyFont="1" applyFill="1" applyBorder="1">
      <alignment/>
      <protection/>
    </xf>
    <xf numFmtId="0" fontId="28" fillId="0" borderId="0" xfId="54" applyFont="1" applyFill="1" applyAlignment="1">
      <alignment horizontal="right"/>
      <protection/>
    </xf>
    <xf numFmtId="0" fontId="21" fillId="33" borderId="0" xfId="54" applyFont="1" applyFill="1" applyBorder="1" applyAlignment="1">
      <alignment horizontal="left" indent="2"/>
      <protection/>
    </xf>
    <xf numFmtId="164" fontId="21" fillId="33" borderId="0" xfId="51" applyNumberFormat="1" applyFont="1" applyFill="1" applyAlignment="1">
      <alignment/>
    </xf>
    <xf numFmtId="9" fontId="29" fillId="34" borderId="0" xfId="52" applyNumberFormat="1" applyFont="1" applyFill="1" applyBorder="1" applyAlignment="1">
      <alignment/>
    </xf>
    <xf numFmtId="10" fontId="21" fillId="33" borderId="0" xfId="52" applyNumberFormat="1" applyFont="1" applyFill="1" applyBorder="1" applyAlignment="1">
      <alignment/>
    </xf>
    <xf numFmtId="0" fontId="30" fillId="33" borderId="0" xfId="54" applyFont="1" applyFill="1" applyBorder="1" applyAlignment="1">
      <alignment horizontal="left" indent="1"/>
      <protection/>
    </xf>
    <xf numFmtId="0" fontId="26" fillId="33" borderId="0" xfId="54" applyFont="1" applyFill="1" applyBorder="1">
      <alignment/>
      <protection/>
    </xf>
    <xf numFmtId="0" fontId="81" fillId="33" borderId="0" xfId="54" applyFont="1" applyFill="1" applyBorder="1" applyAlignment="1">
      <alignment horizontal="right"/>
      <protection/>
    </xf>
    <xf numFmtId="0" fontId="25" fillId="33" borderId="0" xfId="54" applyFont="1" applyFill="1" applyBorder="1">
      <alignment/>
      <protection/>
    </xf>
    <xf numFmtId="2" fontId="81" fillId="33" borderId="0" xfId="54" applyNumberFormat="1" applyFont="1" applyFill="1" applyAlignment="1">
      <alignment horizontal="right"/>
      <protection/>
    </xf>
    <xf numFmtId="0" fontId="26" fillId="33" borderId="0" xfId="54" applyFont="1" applyFill="1">
      <alignment/>
      <protection/>
    </xf>
    <xf numFmtId="0" fontId="27" fillId="38" borderId="0" xfId="54" applyFont="1" applyFill="1" applyBorder="1" applyAlignment="1">
      <alignment horizontal="left" indent="1"/>
      <protection/>
    </xf>
    <xf numFmtId="0" fontId="21" fillId="38" borderId="0" xfId="54" applyFont="1" applyFill="1" applyBorder="1" applyAlignment="1">
      <alignment/>
      <protection/>
    </xf>
    <xf numFmtId="4" fontId="21" fillId="38" borderId="0" xfId="54" applyNumberFormat="1" applyFont="1" applyFill="1" applyBorder="1">
      <alignment/>
      <protection/>
    </xf>
    <xf numFmtId="0" fontId="26" fillId="33" borderId="10" xfId="54" applyFont="1" applyFill="1" applyBorder="1" applyAlignment="1">
      <alignment horizontal="left" indent="1"/>
      <protection/>
    </xf>
    <xf numFmtId="0" fontId="26" fillId="33" borderId="10" xfId="54" applyFont="1" applyFill="1" applyBorder="1">
      <alignment/>
      <protection/>
    </xf>
    <xf numFmtId="4" fontId="26" fillId="0" borderId="10" xfId="54" applyNumberFormat="1" applyFont="1" applyFill="1" applyBorder="1">
      <alignment/>
      <protection/>
    </xf>
    <xf numFmtId="10" fontId="21" fillId="0" borderId="31" xfId="52" applyNumberFormat="1" applyFont="1" applyFill="1" applyBorder="1" applyAlignment="1">
      <alignment/>
    </xf>
    <xf numFmtId="0" fontId="21" fillId="33" borderId="10" xfId="54" applyFont="1" applyFill="1" applyBorder="1" applyAlignment="1">
      <alignment horizontal="left" indent="2"/>
      <protection/>
    </xf>
    <xf numFmtId="4" fontId="26" fillId="33" borderId="10" xfId="54" applyNumberFormat="1" applyFont="1" applyFill="1" applyBorder="1">
      <alignment/>
      <protection/>
    </xf>
    <xf numFmtId="0" fontId="21" fillId="33" borderId="0" xfId="0" applyFont="1" applyFill="1" applyAlignment="1">
      <alignment horizontal="left" indent="2"/>
    </xf>
    <xf numFmtId="4" fontId="21" fillId="33" borderId="0" xfId="0" applyNumberFormat="1" applyFont="1" applyFill="1" applyAlignment="1">
      <alignment/>
    </xf>
    <xf numFmtId="0" fontId="31" fillId="34" borderId="0" xfId="54" applyFont="1" applyFill="1" applyBorder="1" applyAlignment="1">
      <alignment horizontal="left" indent="1"/>
      <protection/>
    </xf>
    <xf numFmtId="0" fontId="31" fillId="34" borderId="0" xfId="54" applyFont="1" applyFill="1" applyBorder="1">
      <alignment/>
      <protection/>
    </xf>
    <xf numFmtId="4" fontId="31" fillId="34" borderId="0" xfId="54" applyNumberFormat="1" applyFont="1" applyFill="1" applyBorder="1">
      <alignment/>
      <protection/>
    </xf>
    <xf numFmtId="0" fontId="31" fillId="34" borderId="0" xfId="54" applyFont="1" applyFill="1">
      <alignment/>
      <protection/>
    </xf>
    <xf numFmtId="3" fontId="32" fillId="33" borderId="0" xfId="54" applyNumberFormat="1" applyFont="1" applyFill="1" applyBorder="1" applyAlignment="1">
      <alignment horizontal="center"/>
      <protection/>
    </xf>
    <xf numFmtId="0" fontId="30" fillId="33" borderId="0" xfId="54" applyFont="1" applyFill="1" applyAlignment="1">
      <alignment horizontal="left" indent="1"/>
      <protection/>
    </xf>
    <xf numFmtId="0" fontId="21" fillId="34" borderId="0" xfId="54" applyFont="1" applyFill="1" applyBorder="1" applyAlignment="1">
      <alignment horizontal="left" indent="2"/>
      <protection/>
    </xf>
    <xf numFmtId="0" fontId="21" fillId="34" borderId="0" xfId="54" applyFont="1" applyFill="1" applyBorder="1" applyAlignment="1">
      <alignment/>
      <protection/>
    </xf>
    <xf numFmtId="0" fontId="21" fillId="34" borderId="0" xfId="54" applyFont="1" applyFill="1" applyBorder="1">
      <alignment/>
      <protection/>
    </xf>
    <xf numFmtId="9" fontId="21" fillId="34" borderId="0" xfId="52" applyNumberFormat="1" applyFont="1" applyFill="1" applyBorder="1" applyAlignment="1">
      <alignment/>
    </xf>
    <xf numFmtId="4" fontId="21" fillId="34" borderId="0" xfId="54" applyNumberFormat="1" applyFont="1" applyFill="1" applyBorder="1">
      <alignment/>
      <protection/>
    </xf>
    <xf numFmtId="0" fontId="26" fillId="33" borderId="0" xfId="54" applyFont="1" applyFill="1" applyAlignment="1">
      <alignment horizontal="left" indent="1"/>
      <protection/>
    </xf>
    <xf numFmtId="0" fontId="26" fillId="33" borderId="32" xfId="54" applyFont="1" applyFill="1" applyBorder="1" applyAlignment="1">
      <alignment horizontal="center"/>
      <protection/>
    </xf>
    <xf numFmtId="0" fontId="26" fillId="33" borderId="0" xfId="54" applyFont="1" applyFill="1" applyBorder="1" applyAlignment="1">
      <alignment horizontal="center"/>
      <protection/>
    </xf>
    <xf numFmtId="0" fontId="29" fillId="35" borderId="0" xfId="54" applyFont="1" applyFill="1" applyBorder="1" applyAlignment="1">
      <alignment/>
      <protection/>
    </xf>
    <xf numFmtId="0" fontId="29" fillId="35" borderId="0" xfId="54" applyFont="1" applyFill="1" applyBorder="1">
      <alignment/>
      <protection/>
    </xf>
    <xf numFmtId="9" fontId="29" fillId="35" borderId="0" xfId="52" applyNumberFormat="1" applyFont="1" applyFill="1" applyBorder="1" applyAlignment="1">
      <alignment/>
    </xf>
    <xf numFmtId="0" fontId="21" fillId="33" borderId="0" xfId="0" applyFont="1" applyFill="1" applyAlignment="1">
      <alignment horizontal="left" indent="1"/>
    </xf>
    <xf numFmtId="0" fontId="21" fillId="33" borderId="0" xfId="0" applyFont="1" applyFill="1" applyBorder="1" applyAlignment="1">
      <alignment/>
    </xf>
    <xf numFmtId="0" fontId="21" fillId="0" borderId="0" xfId="54" applyFont="1" applyFill="1" applyBorder="1" applyAlignment="1">
      <alignment horizontal="left" indent="2"/>
      <protection/>
    </xf>
    <xf numFmtId="2" fontId="21" fillId="0" borderId="0" xfId="54" applyNumberFormat="1" applyFont="1" applyFill="1" applyBorder="1">
      <alignment/>
      <protection/>
    </xf>
    <xf numFmtId="0" fontId="21" fillId="0" borderId="0" xfId="54" applyFont="1" applyFill="1" applyBorder="1">
      <alignment/>
      <protection/>
    </xf>
    <xf numFmtId="0" fontId="21" fillId="0" borderId="0" xfId="0" applyFont="1" applyFill="1" applyBorder="1" applyAlignment="1">
      <alignment/>
    </xf>
    <xf numFmtId="4" fontId="21" fillId="0" borderId="0" xfId="54" applyNumberFormat="1" applyFont="1" applyFill="1" applyBorder="1">
      <alignment/>
      <protection/>
    </xf>
    <xf numFmtId="0" fontId="21" fillId="0" borderId="0" xfId="0" applyFont="1" applyBorder="1" applyAlignment="1">
      <alignment/>
    </xf>
    <xf numFmtId="4" fontId="25" fillId="35" borderId="0" xfId="54" applyNumberFormat="1" applyFont="1" applyFill="1" applyBorder="1">
      <alignment/>
      <protection/>
    </xf>
    <xf numFmtId="0" fontId="25" fillId="35" borderId="0" xfId="54" applyFont="1" applyFill="1" applyBorder="1" applyAlignment="1">
      <alignment horizontal="left" indent="2"/>
      <protection/>
    </xf>
    <xf numFmtId="0" fontId="25" fillId="34" borderId="0" xfId="54" applyFont="1" applyFill="1" applyBorder="1" applyAlignment="1">
      <alignment horizontal="left" indent="1"/>
      <protection/>
    </xf>
    <xf numFmtId="0" fontId="25" fillId="34" borderId="0" xfId="54" applyFont="1" applyFill="1" applyBorder="1">
      <alignment/>
      <protection/>
    </xf>
    <xf numFmtId="4" fontId="25" fillId="34" borderId="0" xfId="54" applyNumberFormat="1" applyFont="1" applyFill="1" applyBorder="1">
      <alignment/>
      <protection/>
    </xf>
    <xf numFmtId="0" fontId="25" fillId="35" borderId="0" xfId="54" applyFont="1" applyFill="1" applyBorder="1">
      <alignment/>
      <protection/>
    </xf>
    <xf numFmtId="4" fontId="18" fillId="33" borderId="0" xfId="54" applyNumberFormat="1" applyFont="1" applyFill="1" applyBorder="1" applyAlignment="1">
      <alignment horizontal="right"/>
      <protection/>
    </xf>
    <xf numFmtId="0" fontId="3" fillId="36" borderId="33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Prozent_KVbeitrag" xfId="52"/>
    <cellStyle name="Schlecht" xfId="53"/>
    <cellStyle name="Standard_Finanzamigo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2">
    <dxf>
      <font>
        <color indexed="20"/>
      </font>
      <fill>
        <patternFill>
          <bgColor indexed="22"/>
        </patternFill>
      </fill>
    </dxf>
    <dxf>
      <font>
        <color indexed="20"/>
      </font>
      <fill>
        <patternFill>
          <bgColor indexed="22"/>
        </patternFill>
      </fill>
    </dxf>
    <dxf>
      <font>
        <color indexed="55"/>
      </font>
      <fill>
        <patternFill>
          <bgColor indexed="22"/>
        </patternFill>
      </fill>
    </dxf>
    <dxf>
      <font>
        <color indexed="61"/>
      </font>
      <fill>
        <patternFill>
          <bgColor indexed="22"/>
        </patternFill>
      </fill>
      <border>
        <left/>
        <right/>
        <top/>
        <bottom/>
      </border>
    </dxf>
    <dxf>
      <font>
        <color indexed="20"/>
      </font>
      <fill>
        <patternFill>
          <bgColor indexed="22"/>
        </patternFill>
      </fill>
    </dxf>
    <dxf>
      <font>
        <color rgb="FFB2B2B2"/>
      </font>
    </dxf>
    <dxf>
      <font>
        <color indexed="20"/>
      </font>
      <fill>
        <patternFill>
          <bgColor indexed="22"/>
        </patternFill>
      </fill>
    </dxf>
    <dxf>
      <font>
        <color rgb="FFB2B2B2"/>
      </font>
    </dxf>
    <dxf>
      <font>
        <color rgb="FFB2B2B2"/>
      </font>
      <border/>
    </dxf>
    <dxf>
      <font>
        <color rgb="FFB2B2B2"/>
      </font>
      <fill>
        <patternFill>
          <bgColor rgb="FFF0F0F0"/>
        </patternFill>
      </fill>
      <border/>
    </dxf>
    <dxf>
      <font>
        <color rgb="FFDDDDDD"/>
      </font>
      <fill>
        <patternFill>
          <bgColor rgb="FFF0F0F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69696"/>
      </font>
      <fill>
        <patternFill>
          <bgColor rgb="FFF0F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99"/>
      <rgbColor rgb="000000FF"/>
      <rgbColor rgb="00FFFF00"/>
      <rgbColor rgb="00CC0000"/>
      <rgbColor rgb="00FFCC00"/>
      <rgbColor rgb="00800000"/>
      <rgbColor rgb="00008000"/>
      <rgbColor rgb="00000080"/>
      <rgbColor rgb="00808000"/>
      <rgbColor rgb="00B2B2B2"/>
      <rgbColor rgb="00008080"/>
      <rgbColor rgb="00F0F0F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CCFF"/>
      <rgbColor rgb="00FFCC66"/>
      <rgbColor rgb="00CCFFCC"/>
      <rgbColor rgb="00FFFF99"/>
      <rgbColor rgb="00A6CAF0"/>
      <rgbColor rgb="00CC9CCC"/>
      <rgbColor rgb="00EAEAEA"/>
      <rgbColor rgb="00E3E3E3"/>
      <rgbColor rgb="003366FF"/>
      <rgbColor rgb="0033CCCC"/>
      <rgbColor rgb="00339933"/>
      <rgbColor rgb="00FFCC99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DDDDDD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0875"/>
          <c:y val="0.18475"/>
          <c:w val="0.8222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Arbeitnehmer!$H$5</c:f>
              <c:strCache>
                <c:ptCount val="1"/>
                <c:pt idx="0">
                  <c:v>ArbN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Arbeitnehmer!$I$4:$J$4</c:f>
              <c:strCache/>
            </c:strRef>
          </c:cat>
          <c:val>
            <c:numRef>
              <c:f>Arbeitnehmer!$I$5:$J$5</c:f>
              <c:numCache/>
            </c:numRef>
          </c:val>
        </c:ser>
        <c:ser>
          <c:idx val="1"/>
          <c:order val="1"/>
          <c:tx>
            <c:strRef>
              <c:f>Arbeitnehmer!$H$6</c:f>
              <c:strCache>
                <c:ptCount val="1"/>
                <c:pt idx="0">
                  <c:v>ArbG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Arbeitnehmer!$I$4:$J$4</c:f>
              <c:strCache/>
            </c:strRef>
          </c:cat>
          <c:val>
            <c:numRef>
              <c:f>Arbeitnehmer!$I$6:$J$6</c:f>
              <c:numCache/>
            </c:numRef>
          </c:val>
        </c:ser>
        <c:overlap val="10"/>
        <c:gapWidth val="170"/>
        <c:axId val="66734195"/>
        <c:axId val="56243464"/>
      </c:barChart>
      <c:catAx>
        <c:axId val="66734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6243464"/>
        <c:crosses val="autoZero"/>
        <c:auto val="1"/>
        <c:lblOffset val="1"/>
        <c:tickLblSkip val="1"/>
        <c:noMultiLvlLbl val="0"/>
      </c:catAx>
      <c:valAx>
        <c:axId val="56243464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667341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075"/>
          <c:y val="0.007"/>
          <c:w val="0.638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108"/>
          <c:w val="0.8952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Rentner!$J$6</c:f>
              <c:strCache>
                <c:ptCount val="1"/>
                <c:pt idx="0">
                  <c:v>Rentneranteil</c:v>
                </c:pt>
              </c:strCache>
            </c:strRef>
          </c:tx>
          <c:spPr>
            <a:solidFill>
              <a:srgbClr val="5F5F5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Rentner!$K$5:$M$5</c:f>
              <c:strCache/>
            </c:strRef>
          </c:cat>
          <c:val>
            <c:numRef>
              <c:f>Rentner!$K$6:$M$6</c:f>
              <c:numCache/>
            </c:numRef>
          </c:val>
        </c:ser>
        <c:ser>
          <c:idx val="1"/>
          <c:order val="1"/>
          <c:tx>
            <c:strRef>
              <c:f>Rentner!$J$7</c:f>
              <c:strCache>
                <c:ptCount val="1"/>
                <c:pt idx="0">
                  <c:v>Zuschuss BfA</c:v>
                </c:pt>
              </c:strCache>
            </c:strRef>
          </c:tx>
          <c:spPr>
            <a:solidFill>
              <a:srgbClr val="B2B2B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Rentner!$K$5:$M$5</c:f>
              <c:strCache/>
            </c:strRef>
          </c:cat>
          <c:val>
            <c:numRef>
              <c:f>Rentner!$K$7:$M$7</c:f>
              <c:numCache/>
            </c:numRef>
          </c:val>
        </c:ser>
        <c:overlap val="30"/>
        <c:axId val="20447721"/>
        <c:axId val="56112998"/>
      </c:barChart>
      <c:catAx>
        <c:axId val="2044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12998"/>
        <c:crosses val="autoZero"/>
        <c:auto val="1"/>
        <c:lblOffset val="100"/>
        <c:tickLblSkip val="1"/>
        <c:noMultiLvlLbl val="0"/>
      </c:catAx>
      <c:valAx>
        <c:axId val="56112998"/>
        <c:scaling>
          <c:orientation val="minMax"/>
        </c:scaling>
        <c:axPos val="l"/>
        <c:delete val="1"/>
        <c:majorTickMark val="out"/>
        <c:minorTickMark val="none"/>
        <c:tickLblPos val="nextTo"/>
        <c:crossAx val="20447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145"/>
          <c:w val="0.2975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123825</xdr:rowOff>
    </xdr:from>
    <xdr:to>
      <xdr:col>8</xdr:col>
      <xdr:colOff>333375</xdr:colOff>
      <xdr:row>10</xdr:row>
      <xdr:rowOff>114300</xdr:rowOff>
    </xdr:to>
    <xdr:graphicFrame>
      <xdr:nvGraphicFramePr>
        <xdr:cNvPr id="1" name="Chart 16"/>
        <xdr:cNvGraphicFramePr/>
      </xdr:nvGraphicFramePr>
      <xdr:xfrm>
        <a:off x="4800600" y="123825"/>
        <a:ext cx="1771650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2</xdr:row>
      <xdr:rowOff>0</xdr:rowOff>
    </xdr:from>
    <xdr:to>
      <xdr:col>12</xdr:col>
      <xdr:colOff>190500</xdr:colOff>
      <xdr:row>11</xdr:row>
      <xdr:rowOff>123825</xdr:rowOff>
    </xdr:to>
    <xdr:graphicFrame>
      <xdr:nvGraphicFramePr>
        <xdr:cNvPr id="1" name="Chart 1"/>
        <xdr:cNvGraphicFramePr/>
      </xdr:nvGraphicFramePr>
      <xdr:xfrm>
        <a:off x="4505325" y="361950"/>
        <a:ext cx="2486025" cy="140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8"/>
  <sheetViews>
    <sheetView showGridLines="0" zoomScalePageLayoutView="0" workbookViewId="0" topLeftCell="A1">
      <selection activeCell="B10" sqref="B10"/>
    </sheetView>
  </sheetViews>
  <sheetFormatPr defaultColWidth="11.00390625" defaultRowHeight="12.75"/>
  <cols>
    <col min="1" max="1" width="3.375" style="2" customWidth="1"/>
    <col min="2" max="2" width="20.625" style="2" customWidth="1"/>
    <col min="3" max="3" width="6.00390625" style="2" customWidth="1"/>
    <col min="4" max="4" width="7.75390625" style="2" customWidth="1"/>
    <col min="5" max="5" width="10.25390625" style="2" customWidth="1"/>
    <col min="6" max="6" width="7.375" style="2" customWidth="1"/>
    <col min="7" max="7" width="12.00390625" style="2" customWidth="1"/>
    <col min="8" max="16384" width="11.00390625" style="2" customWidth="1"/>
  </cols>
  <sheetData>
    <row r="1" ht="11.25"/>
    <row r="2" ht="11.25">
      <c r="B2" s="26" t="s">
        <v>8</v>
      </c>
    </row>
    <row r="3" ht="14.25">
      <c r="B3" s="154" t="s">
        <v>78</v>
      </c>
    </row>
    <row r="4" spans="2:10" ht="11.25">
      <c r="B4" s="8"/>
      <c r="C4" s="27"/>
      <c r="D4" s="29"/>
      <c r="E4" s="29"/>
      <c r="F4" s="29"/>
      <c r="G4" s="90">
        <f>INDEX(daten,MATCH(C$6,jahre,0),COLUMN(Zahlen!C3)-1)</f>
        <v>4050</v>
      </c>
      <c r="H4" s="89" t="s">
        <v>70</v>
      </c>
      <c r="I4" s="10"/>
      <c r="J4" s="10"/>
    </row>
    <row r="5" spans="2:10" ht="11.25">
      <c r="B5" s="60" t="s">
        <v>73</v>
      </c>
      <c r="C5" s="42"/>
      <c r="D5" s="30"/>
      <c r="E5" s="3"/>
      <c r="F5" s="43"/>
      <c r="G5" s="90">
        <f>INDEX(daten,MATCH(C$6,jahre,0),COLUMN(Zahlen!F3)-1)</f>
        <v>1982.5</v>
      </c>
      <c r="H5" s="89" t="s">
        <v>74</v>
      </c>
      <c r="I5" s="10"/>
      <c r="J5" s="10"/>
    </row>
    <row r="6" spans="2:10" ht="11.25">
      <c r="B6" s="6" t="s">
        <v>43</v>
      </c>
      <c r="C6" s="72">
        <v>2014</v>
      </c>
      <c r="D6" s="30"/>
      <c r="E6" s="3"/>
      <c r="F6" s="43"/>
      <c r="G6" s="90">
        <f>INDEX(daten,MATCH(C$6,jahre,0),COLUMN(Zahlen!E3)-1)</f>
        <v>2073.75</v>
      </c>
      <c r="H6" s="89" t="s">
        <v>75</v>
      </c>
      <c r="I6" s="10"/>
      <c r="J6" s="10"/>
    </row>
    <row r="7" spans="2:10" ht="11.25">
      <c r="B7" s="96" t="s">
        <v>77</v>
      </c>
      <c r="C7" s="57" t="s">
        <v>0</v>
      </c>
      <c r="D7" s="43"/>
      <c r="E7" s="3"/>
      <c r="F7" s="43"/>
      <c r="G7" s="143">
        <f>IF(E10&gt;E11,MIN(E10,G4),0)</f>
        <v>0</v>
      </c>
      <c r="H7" s="10"/>
      <c r="I7" s="10"/>
      <c r="J7" s="10"/>
    </row>
    <row r="8" spans="2:10" ht="11.25">
      <c r="B8" s="15" t="s">
        <v>47</v>
      </c>
      <c r="C8" s="57" t="s">
        <v>14</v>
      </c>
      <c r="D8" s="43"/>
      <c r="E8" s="3"/>
      <c r="F8" s="43"/>
      <c r="G8" s="143">
        <f>IF(G7&gt;0,ROUNDDOWN((G7-E11)*D14+(E10-E11)*D15,2),0)</f>
        <v>0</v>
      </c>
      <c r="H8" s="10"/>
      <c r="I8" s="10"/>
      <c r="J8" s="10"/>
    </row>
    <row r="9" spans="2:10" ht="11.25">
      <c r="B9" s="8"/>
      <c r="C9" s="8"/>
      <c r="D9" s="3"/>
      <c r="E9" s="3"/>
      <c r="F9" s="43"/>
      <c r="H9" s="10"/>
      <c r="I9" s="10"/>
      <c r="J9" s="10"/>
    </row>
    <row r="10" spans="2:10" ht="11.25">
      <c r="B10" s="15" t="s">
        <v>48</v>
      </c>
      <c r="C10" s="32"/>
      <c r="D10" s="32"/>
      <c r="E10" s="74">
        <v>1500</v>
      </c>
      <c r="F10" s="31" t="s">
        <v>11</v>
      </c>
      <c r="G10" s="86"/>
      <c r="H10" s="10"/>
      <c r="I10" s="10"/>
      <c r="J10" s="10"/>
    </row>
    <row r="11" spans="2:10" ht="11.25">
      <c r="B11" s="11" t="s">
        <v>10</v>
      </c>
      <c r="C11" s="21"/>
      <c r="D11" s="3"/>
      <c r="E11" s="12">
        <f>IF(B5="Selbständige",IF(C8="nein",G6,G5),G5)</f>
        <v>1982.5</v>
      </c>
      <c r="F11" s="31" t="s">
        <v>11</v>
      </c>
      <c r="G11" s="87"/>
      <c r="H11" s="10"/>
      <c r="I11" s="10"/>
      <c r="J11" s="10"/>
    </row>
    <row r="12" spans="2:10" ht="11.25">
      <c r="B12" s="15" t="s">
        <v>49</v>
      </c>
      <c r="C12" s="32"/>
      <c r="D12" s="32"/>
      <c r="E12" s="18">
        <f>IF(B5="Existenzgründer",E11,MAX(E10:E11))</f>
        <v>1982.5</v>
      </c>
      <c r="F12" s="31" t="s">
        <v>11</v>
      </c>
      <c r="G12" s="85"/>
      <c r="H12" s="33"/>
      <c r="I12" s="34"/>
      <c r="J12" s="34"/>
    </row>
    <row r="13" spans="2:10" ht="11.25">
      <c r="B13" s="3"/>
      <c r="C13" s="3"/>
      <c r="D13" s="3"/>
      <c r="E13" s="9"/>
      <c r="F13" s="31"/>
      <c r="G13" s="88"/>
      <c r="H13" s="35"/>
      <c r="I13" s="36"/>
      <c r="J13" s="37"/>
    </row>
    <row r="14" spans="2:10" ht="11.25">
      <c r="B14" s="15" t="s">
        <v>12</v>
      </c>
      <c r="C14" s="56"/>
      <c r="D14" s="40">
        <f>IF(C14&gt;0,C14,INDEX(daten,MATCH(C6,jahre,0),COLUMN(Zahlen!H3)-1))</f>
        <v>0.155</v>
      </c>
      <c r="E14" s="18">
        <f>MIN(G4,E12)*D14</f>
        <v>307.2875</v>
      </c>
      <c r="F14" s="31" t="s">
        <v>11</v>
      </c>
      <c r="G14" s="61"/>
      <c r="H14" s="39"/>
      <c r="I14" s="38"/>
      <c r="J14" s="38"/>
    </row>
    <row r="15" spans="2:10" ht="11.25">
      <c r="B15" s="11" t="s">
        <v>4</v>
      </c>
      <c r="C15" s="32"/>
      <c r="D15" s="40">
        <f>IF(C7="nein",INDEX(daten,MATCH(C6,jahre,0),COLUMN(Zahlen!J3)-1),INDEX(daten,MATCH(C6,jahre,0),COLUMN(Zahlen!K3)-1))</f>
        <v>0.023</v>
      </c>
      <c r="E15" s="12">
        <f>MIN(G4,E12)*D15</f>
        <v>45.5975</v>
      </c>
      <c r="F15" s="31" t="s">
        <v>11</v>
      </c>
      <c r="G15" s="39"/>
      <c r="H15" s="39"/>
      <c r="I15" s="38"/>
      <c r="J15" s="38"/>
    </row>
    <row r="16" spans="2:10" ht="11.25">
      <c r="B16" s="62" t="s">
        <v>36</v>
      </c>
      <c r="C16" s="75"/>
      <c r="D16" s="64"/>
      <c r="E16" s="76">
        <f>SUM(E14:E15)</f>
        <v>352.885</v>
      </c>
      <c r="F16" s="77" t="s">
        <v>11</v>
      </c>
      <c r="H16" s="38"/>
      <c r="I16" s="38"/>
      <c r="J16" s="38"/>
    </row>
    <row r="17" spans="2:10" ht="11.25">
      <c r="B17" s="6"/>
      <c r="C17" s="31"/>
      <c r="D17" s="3"/>
      <c r="E17" s="3"/>
      <c r="F17" s="41"/>
      <c r="H17" s="38"/>
      <c r="I17" s="38"/>
      <c r="J17" s="38"/>
    </row>
    <row r="18" spans="2:11" ht="11.25">
      <c r="B18" s="3"/>
      <c r="C18" s="3"/>
      <c r="D18" s="3"/>
      <c r="E18" s="8"/>
      <c r="F18" s="3"/>
      <c r="G18" s="54"/>
      <c r="H18" s="55"/>
      <c r="I18" s="55"/>
      <c r="J18" s="55"/>
      <c r="K18" s="49"/>
    </row>
    <row r="19" spans="2:11" ht="11.25">
      <c r="B19" s="28">
        <f>IF(AND(B5="Selbständige",G7&gt;0),"Mehrbeitrag, der nachträglich aufgrund des höheren Gewinns","")</f>
      </c>
      <c r="F19" s="155" t="s">
        <v>13</v>
      </c>
      <c r="G19" s="49"/>
      <c r="H19" s="49"/>
      <c r="I19" s="49"/>
      <c r="J19" s="49"/>
      <c r="K19" s="49"/>
    </row>
    <row r="20" spans="2:11" ht="11.25">
      <c r="B20" s="28">
        <f>IF(AND(B5="Selbständige",G7&gt;0),"erhoben wird, beträgt pro Monat "&amp;G8&amp;" Euro.","")</f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2:11" ht="11.25"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2:11" ht="11.25"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2:11" ht="11.25"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2:11" ht="11.25"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2:11" ht="11.25"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2:11" ht="11.25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2:11" ht="11.25"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2:11" ht="11.25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2:11" ht="11.25"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2:11" ht="11.25"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2:11" ht="11.25"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2:11" ht="11.25"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2:11" ht="11.25"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2:11" ht="11.25"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2:11" ht="11.25"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2:11" ht="11.25"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2:11" ht="11.25"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2:6" ht="11.25">
      <c r="B38" s="49"/>
      <c r="C38" s="49"/>
      <c r="D38" s="49"/>
      <c r="E38" s="49"/>
      <c r="F38" s="49"/>
    </row>
  </sheetData>
  <sheetProtection formatCells="0"/>
  <conditionalFormatting sqref="B8:C8">
    <cfRule type="expression" priority="1" dxfId="8" stopIfTrue="1">
      <formula>$B$5="Existenzgründer"</formula>
    </cfRule>
  </conditionalFormatting>
  <dataValidations count="3">
    <dataValidation type="list" allowBlank="1" showInputMessage="1" showErrorMessage="1" sqref="C7:C8">
      <formula1>"ja,nein,"</formula1>
    </dataValidation>
    <dataValidation type="list" allowBlank="1" showInputMessage="1" showErrorMessage="1" sqref="B5">
      <formula1>"Existenzgründer,Selbständige,"</formula1>
    </dataValidation>
    <dataValidation type="list" allowBlank="1" showInputMessage="1" showErrorMessage="1" sqref="C6">
      <formula1>jahre</formula1>
    </dataValidation>
  </dataValidations>
  <printOptions/>
  <pageMargins left="0.65" right="0.61" top="0.72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7"/>
  <sheetViews>
    <sheetView showGridLines="0" tabSelected="1" zoomScalePageLayoutView="0" workbookViewId="0" topLeftCell="A1">
      <selection activeCell="I19" sqref="I19"/>
    </sheetView>
  </sheetViews>
  <sheetFormatPr defaultColWidth="11.00390625" defaultRowHeight="12.75"/>
  <cols>
    <col min="1" max="1" width="3.75390625" style="2" customWidth="1"/>
    <col min="2" max="2" width="25.00390625" style="2" customWidth="1"/>
    <col min="3" max="3" width="6.75390625" style="2" customWidth="1"/>
    <col min="4" max="5" width="9.375" style="2" customWidth="1"/>
    <col min="6" max="6" width="8.75390625" style="2" customWidth="1"/>
    <col min="7" max="7" width="7.625" style="2" customWidth="1"/>
    <col min="8" max="8" width="11.25390625" style="2" customWidth="1"/>
    <col min="9" max="9" width="7.75390625" style="2" customWidth="1"/>
    <col min="10" max="10" width="8.50390625" style="2" customWidth="1"/>
    <col min="11" max="16384" width="11.00390625" style="2" customWidth="1"/>
  </cols>
  <sheetData>
    <row r="1" ht="11.25"/>
    <row r="2" ht="11.25">
      <c r="B2" s="26" t="s">
        <v>1</v>
      </c>
    </row>
    <row r="3" ht="14.25">
      <c r="B3" s="154" t="s">
        <v>45</v>
      </c>
    </row>
    <row r="4" spans="2:12" ht="11.25">
      <c r="B4" s="3"/>
      <c r="C4" s="3"/>
      <c r="D4" s="3"/>
      <c r="E4" s="43"/>
      <c r="F4" s="3"/>
      <c r="G4" s="43"/>
      <c r="H4" s="115"/>
      <c r="I4" s="116" t="s">
        <v>19</v>
      </c>
      <c r="J4" s="117" t="s">
        <v>20</v>
      </c>
      <c r="K4" s="92"/>
      <c r="L4" s="93"/>
    </row>
    <row r="5" spans="2:12" ht="11.25">
      <c r="B5" s="1" t="s">
        <v>98</v>
      </c>
      <c r="C5" s="114">
        <v>2016</v>
      </c>
      <c r="D5" s="3"/>
      <c r="E5" s="43"/>
      <c r="F5" s="43"/>
      <c r="G5" s="43"/>
      <c r="H5" s="117" t="s">
        <v>92</v>
      </c>
      <c r="I5" s="118">
        <f>E22</f>
        <v>405.74062499999997</v>
      </c>
      <c r="J5" s="119">
        <f>E32</f>
        <v>237.5</v>
      </c>
      <c r="K5" s="92"/>
      <c r="L5" s="93"/>
    </row>
    <row r="6" spans="2:12" ht="11.25">
      <c r="B6" s="150" t="s">
        <v>65</v>
      </c>
      <c r="C6" s="151">
        <f>INDEX(daten,MATCH(C$5,jahre,0),COLUMN(Zahlen!C3)-1)</f>
        <v>4237.5</v>
      </c>
      <c r="D6" s="152" t="s">
        <v>18</v>
      </c>
      <c r="E6" s="43"/>
      <c r="F6" s="43"/>
      <c r="G6" s="43"/>
      <c r="H6" s="117" t="s">
        <v>93</v>
      </c>
      <c r="I6" s="118">
        <f>E18</f>
        <v>359.12812499999995</v>
      </c>
      <c r="J6" s="119">
        <f>-E31</f>
        <v>237.5</v>
      </c>
      <c r="K6" s="92"/>
      <c r="L6" s="93"/>
    </row>
    <row r="7" spans="2:12" ht="11.25">
      <c r="B7" s="150" t="s">
        <v>52</v>
      </c>
      <c r="C7" s="151">
        <f>INDEX(daten,MATCH(C$5,jahre,0),COLUMN(Zahlen!D3)-1)</f>
        <v>4687.5</v>
      </c>
      <c r="D7" s="152" t="s">
        <v>18</v>
      </c>
      <c r="E7" s="111"/>
      <c r="F7" s="112"/>
      <c r="G7" s="113"/>
      <c r="I7" s="5"/>
      <c r="J7" s="5"/>
      <c r="K7" s="92"/>
      <c r="L7" s="93"/>
    </row>
    <row r="8" spans="2:11" ht="11.25">
      <c r="B8" s="6"/>
      <c r="C8" s="71"/>
      <c r="D8" s="71"/>
      <c r="E8" s="43"/>
      <c r="F8" s="3"/>
      <c r="G8" s="3"/>
      <c r="I8" s="5"/>
      <c r="J8" s="5"/>
      <c r="K8" s="4"/>
    </row>
    <row r="9" spans="2:12" ht="11.25">
      <c r="B9" s="81" t="s">
        <v>2</v>
      </c>
      <c r="C9" s="81"/>
      <c r="D9" s="58">
        <v>4800</v>
      </c>
      <c r="E9" s="82" t="s">
        <v>11</v>
      </c>
      <c r="F9" s="71">
        <f>IF(AND(D9&gt;400,D9&lt;=800),"Gleitzonenregelung","")</f>
      </c>
      <c r="G9" s="3"/>
      <c r="H9" s="83">
        <f>IF(AND(D9&gt;400,D9&lt;=800),H10*D13/2*2-(D9*D13/2),0)</f>
        <v>0</v>
      </c>
      <c r="I9" s="5"/>
      <c r="J9" s="94"/>
      <c r="K9" s="4"/>
      <c r="L9" s="95"/>
    </row>
    <row r="10" spans="2:11" ht="11.25">
      <c r="B10" s="1" t="s">
        <v>56</v>
      </c>
      <c r="C10" s="6"/>
      <c r="D10" s="53" t="s">
        <v>14</v>
      </c>
      <c r="E10" s="3"/>
      <c r="F10" s="3"/>
      <c r="G10" s="3"/>
      <c r="H10" s="84">
        <f>IF(AND(D9&gt;400,D9&lt;=800),(0.5952*400)+(2-0.5952)*(D9-400),0)</f>
        <v>0</v>
      </c>
      <c r="I10" s="5"/>
      <c r="J10" s="5"/>
      <c r="K10" s="4"/>
    </row>
    <row r="11" spans="2:12" ht="11.25">
      <c r="B11" s="21"/>
      <c r="C11" s="3"/>
      <c r="D11" s="3"/>
      <c r="E11" s="3"/>
      <c r="F11" s="3"/>
      <c r="G11" s="3"/>
      <c r="I11" s="47"/>
      <c r="J11" s="47"/>
      <c r="K11" s="48"/>
      <c r="L11" s="49"/>
    </row>
    <row r="12" spans="2:12" ht="11.25">
      <c r="B12" s="24" t="s">
        <v>50</v>
      </c>
      <c r="C12" s="3"/>
      <c r="D12" s="3"/>
      <c r="E12" s="3"/>
      <c r="F12" s="3"/>
      <c r="G12" s="8"/>
      <c r="H12" s="46"/>
      <c r="I12" s="50"/>
      <c r="J12" s="50"/>
      <c r="K12" s="51"/>
      <c r="L12" s="49"/>
    </row>
    <row r="13" spans="2:12" ht="11.25">
      <c r="B13" s="6" t="s">
        <v>3</v>
      </c>
      <c r="C13" s="56"/>
      <c r="D13" s="16">
        <f>IF(C5=2008,C13,INDEX(daten,MATCH(C5,jahre,0),COLUMN(Zahlen!H3)-1))</f>
        <v>0.146</v>
      </c>
      <c r="E13" s="3"/>
      <c r="F13" s="9">
        <f>IF(D9&gt;0,MIN(D9,C6)*IF(C13&gt;0,C13,D13),0)</f>
        <v>618.675</v>
      </c>
      <c r="G13" s="3" t="s">
        <v>11</v>
      </c>
      <c r="H13" s="46"/>
      <c r="I13" s="50"/>
      <c r="J13" s="50"/>
      <c r="K13" s="52"/>
      <c r="L13" s="149"/>
    </row>
    <row r="14" spans="2:12" ht="11.25">
      <c r="B14" s="11" t="s">
        <v>4</v>
      </c>
      <c r="C14" s="15"/>
      <c r="D14" s="59">
        <f>IF(D10="nein",INDEX(daten,MATCH(C5,jahre,0),COLUMN(Zahlen!J3)-1),INDEX(daten,MATCH(C5,jahre,0),COLUMN(Zahlen!K3)-1))</f>
        <v>0.0235</v>
      </c>
      <c r="E14" s="3"/>
      <c r="F14" s="12">
        <f>IF(D9&gt;0,MIN(D9,C6)*D14,0)</f>
        <v>99.58125</v>
      </c>
      <c r="G14" s="3" t="s">
        <v>11</v>
      </c>
      <c r="K14" s="123"/>
      <c r="L14" s="49"/>
    </row>
    <row r="15" spans="2:12" ht="11.25">
      <c r="B15" s="65" t="s">
        <v>16</v>
      </c>
      <c r="C15" s="65"/>
      <c r="D15" s="104">
        <f>SUM(D13:D14)</f>
        <v>0.16949999999999998</v>
      </c>
      <c r="E15" s="66"/>
      <c r="F15" s="67">
        <f>SUM(F13:F14)</f>
        <v>718.2562499999999</v>
      </c>
      <c r="G15" s="64" t="s">
        <v>11</v>
      </c>
      <c r="J15" s="95"/>
      <c r="K15" s="123"/>
      <c r="L15" s="49"/>
    </row>
    <row r="16" spans="2:12" ht="11.25">
      <c r="B16" s="96" t="s">
        <v>53</v>
      </c>
      <c r="C16" s="15"/>
      <c r="D16" s="107">
        <f>D13*0.5</f>
        <v>0.073</v>
      </c>
      <c r="E16" s="105">
        <f>IF(D9&gt;0,MIN(C6,D9)*D16,0)</f>
        <v>309.3375</v>
      </c>
      <c r="F16" s="3"/>
      <c r="G16" s="3"/>
      <c r="H16" s="102"/>
      <c r="I16" s="102"/>
      <c r="J16" s="103"/>
      <c r="K16" s="123"/>
      <c r="L16" s="49"/>
    </row>
    <row r="17" spans="2:12" ht="11.25">
      <c r="B17" s="97" t="s">
        <v>54</v>
      </c>
      <c r="C17" s="15"/>
      <c r="D17" s="110">
        <f>INDEX(daten,MATCH(C5,jahre,0),COLUMN(Zahlen!J3)-1)*0.5</f>
        <v>0.01175</v>
      </c>
      <c r="E17" s="17">
        <f>IF(D9&gt;0,MIN(D9,C6)*D17,0)</f>
        <v>49.790625</v>
      </c>
      <c r="F17" s="3"/>
      <c r="G17" s="3"/>
      <c r="H17" s="98"/>
      <c r="I17" s="99"/>
      <c r="J17" s="100"/>
      <c r="K17" s="123"/>
      <c r="L17" s="49"/>
    </row>
    <row r="18" spans="2:12" ht="11.25">
      <c r="B18" s="96" t="s">
        <v>66</v>
      </c>
      <c r="C18" s="15"/>
      <c r="D18" s="108"/>
      <c r="E18" s="106">
        <f>SUM(E16:E17)</f>
        <v>359.12812499999995</v>
      </c>
      <c r="F18" s="63">
        <f>IF($F$15&gt;0,E18/$F$15,0)</f>
        <v>0.5</v>
      </c>
      <c r="G18" s="3"/>
      <c r="H18" s="98"/>
      <c r="I18" s="99"/>
      <c r="J18" s="100"/>
      <c r="K18" s="123"/>
      <c r="L18" s="49"/>
    </row>
    <row r="19" spans="2:12" ht="11.25">
      <c r="B19" s="96" t="s">
        <v>97</v>
      </c>
      <c r="C19" s="56">
        <v>0.011</v>
      </c>
      <c r="D19" s="108"/>
      <c r="E19" s="259"/>
      <c r="F19" s="63"/>
      <c r="G19" s="3"/>
      <c r="H19" s="98"/>
      <c r="I19" s="99"/>
      <c r="J19" s="100"/>
      <c r="K19" s="123"/>
      <c r="L19" s="49"/>
    </row>
    <row r="20" spans="2:12" ht="11.25">
      <c r="B20" s="15" t="s">
        <v>5</v>
      </c>
      <c r="C20" s="15"/>
      <c r="D20" s="108">
        <f>D16+C19</f>
        <v>0.08399999999999999</v>
      </c>
      <c r="E20" s="105">
        <f>IF(D9&gt;0,MIN(C6,D9)*D20,0)</f>
        <v>355.95</v>
      </c>
      <c r="F20" s="3"/>
      <c r="G20" s="3"/>
      <c r="H20" s="101"/>
      <c r="I20" s="98"/>
      <c r="J20" s="102"/>
      <c r="K20" s="123"/>
      <c r="L20" s="49"/>
    </row>
    <row r="21" spans="2:12" ht="11.25">
      <c r="B21" s="11" t="s">
        <v>7</v>
      </c>
      <c r="C21" s="15"/>
      <c r="D21" s="110">
        <f>D14-D17</f>
        <v>0.01175</v>
      </c>
      <c r="E21" s="105">
        <f>IF(D9&gt;0,MIN(C6,D9)*D21,0)</f>
        <v>49.790625</v>
      </c>
      <c r="F21" s="9"/>
      <c r="G21" s="3"/>
      <c r="H21" s="98"/>
      <c r="I21" s="98"/>
      <c r="J21" s="102"/>
      <c r="K21" s="123"/>
      <c r="L21" s="49"/>
    </row>
    <row r="22" spans="2:12" ht="11.25">
      <c r="B22" s="68" t="s">
        <v>55</v>
      </c>
      <c r="C22" s="62"/>
      <c r="D22" s="68"/>
      <c r="E22" s="106">
        <f>SUM(E20:E21)</f>
        <v>405.74062499999997</v>
      </c>
      <c r="F22" s="63">
        <f>IF($F$15&gt;0,E22/$F$15,0)</f>
        <v>0.5648967551622419</v>
      </c>
      <c r="G22" s="64"/>
      <c r="H22" s="52"/>
      <c r="I22" s="52"/>
      <c r="J22" s="52"/>
      <c r="K22" s="52"/>
      <c r="L22" s="49"/>
    </row>
    <row r="23" spans="2:12" ht="24" customHeight="1">
      <c r="B23" s="15"/>
      <c r="C23" s="15"/>
      <c r="D23" s="15"/>
      <c r="E23" s="73"/>
      <c r="F23" s="18"/>
      <c r="G23" s="8"/>
      <c r="H23" s="48"/>
      <c r="I23" s="48"/>
      <c r="J23" s="48"/>
      <c r="K23" s="52"/>
      <c r="L23" s="49"/>
    </row>
    <row r="24" spans="2:12" ht="11.25">
      <c r="B24" s="120" t="s">
        <v>51</v>
      </c>
      <c r="C24" s="144"/>
      <c r="D24" s="156" t="str">
        <f>"PKV ab Gehalt "&amp;FIXED(C7,2)&amp;" Euro möglich ("&amp;C5&amp;") !"</f>
        <v>PKV ab Gehalt 4.687,50 Euro möglich (2016) !</v>
      </c>
      <c r="E24" s="145"/>
      <c r="F24" s="146"/>
      <c r="G24" s="147"/>
      <c r="H24" s="48"/>
      <c r="I24" s="48"/>
      <c r="J24" s="48"/>
      <c r="K24" s="52"/>
      <c r="L24" s="49"/>
    </row>
    <row r="25" spans="2:12" ht="11.25">
      <c r="B25" s="6"/>
      <c r="C25" s="7"/>
      <c r="D25" s="19"/>
      <c r="E25" s="20"/>
      <c r="F25" s="13"/>
      <c r="G25" s="3"/>
      <c r="H25" s="102"/>
      <c r="I25" s="102"/>
      <c r="J25" s="102"/>
      <c r="K25" s="52"/>
      <c r="L25" s="49"/>
    </row>
    <row r="26" spans="2:12" ht="11.25">
      <c r="B26" s="6" t="s">
        <v>17</v>
      </c>
      <c r="C26" s="6"/>
      <c r="D26" s="3"/>
      <c r="E26" s="157">
        <v>400</v>
      </c>
      <c r="F26" s="3" t="s">
        <v>11</v>
      </c>
      <c r="G26" s="3"/>
      <c r="K26" s="52"/>
      <c r="L26" s="49"/>
    </row>
    <row r="27" spans="2:12" ht="11.25">
      <c r="B27" s="15" t="s">
        <v>4</v>
      </c>
      <c r="C27" s="15"/>
      <c r="D27" s="3"/>
      <c r="E27" s="158">
        <v>75</v>
      </c>
      <c r="F27" s="3" t="s">
        <v>11</v>
      </c>
      <c r="G27" s="3"/>
      <c r="K27" s="52"/>
      <c r="L27" s="49"/>
    </row>
    <row r="28" spans="2:12" ht="11.25">
      <c r="B28" s="11" t="s">
        <v>6</v>
      </c>
      <c r="C28" s="8"/>
      <c r="D28" s="3"/>
      <c r="E28" s="159"/>
      <c r="F28" s="3" t="s">
        <v>11</v>
      </c>
      <c r="G28" s="3"/>
      <c r="K28" s="52"/>
      <c r="L28" s="49"/>
    </row>
    <row r="29" spans="2:12" ht="11.25">
      <c r="B29" s="68" t="s">
        <v>15</v>
      </c>
      <c r="C29" s="121"/>
      <c r="D29" s="69"/>
      <c r="E29" s="70">
        <f>SUM(E26:E28)</f>
        <v>475</v>
      </c>
      <c r="F29" s="69" t="s">
        <v>11</v>
      </c>
      <c r="G29" s="3"/>
      <c r="H29" s="102"/>
      <c r="I29" s="109"/>
      <c r="J29" s="102"/>
      <c r="K29" s="52"/>
      <c r="L29" s="49"/>
    </row>
    <row r="30" spans="2:12" ht="11.25">
      <c r="B30" s="96" t="s">
        <v>57</v>
      </c>
      <c r="C30" s="15"/>
      <c r="D30" s="18">
        <f>-MIN(C6*D16,E26*0.5)</f>
        <v>-200</v>
      </c>
      <c r="E30" s="22"/>
      <c r="F30" s="3"/>
      <c r="G30" s="3"/>
      <c r="I30" s="109"/>
      <c r="J30" s="102"/>
      <c r="K30" s="52"/>
      <c r="L30" s="49"/>
    </row>
    <row r="31" spans="2:12" ht="11.25">
      <c r="B31" s="97" t="s">
        <v>58</v>
      </c>
      <c r="C31" s="15"/>
      <c r="D31" s="12">
        <f>-MIN(E17,E27*0.5)</f>
        <v>-37.5</v>
      </c>
      <c r="E31" s="12">
        <f>SUM(D30:D31)</f>
        <v>-237.5</v>
      </c>
      <c r="F31" s="3" t="s">
        <v>11</v>
      </c>
      <c r="G31" s="3"/>
      <c r="H31" s="102"/>
      <c r="I31" s="109"/>
      <c r="J31" s="102"/>
      <c r="K31" s="52"/>
      <c r="L31" s="49"/>
    </row>
    <row r="32" spans="2:12" ht="11.25">
      <c r="B32" s="68" t="s">
        <v>59</v>
      </c>
      <c r="C32" s="62"/>
      <c r="D32" s="63">
        <f>IF(E29&gt;0,E32/E29,0)</f>
        <v>0.5</v>
      </c>
      <c r="E32" s="122">
        <f>IF(E29&gt;0,E29+E31,0)</f>
        <v>237.5</v>
      </c>
      <c r="F32" s="64" t="s">
        <v>11</v>
      </c>
      <c r="G32" s="3"/>
      <c r="H32" s="52"/>
      <c r="I32" s="52"/>
      <c r="J32" s="52"/>
      <c r="K32" s="52"/>
      <c r="L32" s="49"/>
    </row>
    <row r="33" spans="2:12" ht="11.25" hidden="1">
      <c r="B33" s="23" t="str">
        <f>IF(E22&gt;E32,"Vorteil PKV","Vorteil GKV")</f>
        <v>Vorteil PKV</v>
      </c>
      <c r="C33" s="23"/>
      <c r="D33" s="3"/>
      <c r="E33" s="18">
        <f>IF(E22-E32&gt;0,E22-E32,E32-E22)</f>
        <v>168.24062499999997</v>
      </c>
      <c r="F33" s="18" t="s">
        <v>11</v>
      </c>
      <c r="G33" s="3"/>
      <c r="H33" s="52"/>
      <c r="I33" s="52"/>
      <c r="J33" s="52"/>
      <c r="K33" s="52"/>
      <c r="L33" s="49"/>
    </row>
    <row r="34" spans="2:12" ht="11.25">
      <c r="B34" s="23"/>
      <c r="C34" s="23"/>
      <c r="D34" s="3"/>
      <c r="E34" s="18"/>
      <c r="F34" s="18"/>
      <c r="G34" s="3"/>
      <c r="H34" s="52"/>
      <c r="I34" s="52"/>
      <c r="J34" s="52"/>
      <c r="K34" s="52"/>
      <c r="L34" s="49"/>
    </row>
    <row r="35" spans="3:12" ht="11.25">
      <c r="C35" s="137"/>
      <c r="D35" s="137"/>
      <c r="E35" s="39"/>
      <c r="F35" s="93"/>
      <c r="G35" s="155" t="s">
        <v>13</v>
      </c>
      <c r="H35" s="52"/>
      <c r="I35" s="52"/>
      <c r="J35" s="52"/>
      <c r="K35" s="52"/>
      <c r="L35" s="49"/>
    </row>
    <row r="36" spans="2:11" ht="12.75">
      <c r="B36" s="45"/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1.25">
      <c r="B37" s="10"/>
      <c r="C37" s="10"/>
      <c r="D37" s="10"/>
      <c r="E37" s="10"/>
      <c r="F37" s="10"/>
      <c r="G37" s="10"/>
      <c r="H37" s="10"/>
      <c r="I37" s="10"/>
      <c r="J37" s="10"/>
      <c r="K37" s="10"/>
    </row>
  </sheetData>
  <sheetProtection formatCells="0"/>
  <conditionalFormatting sqref="B26:F34 B25">
    <cfRule type="expression" priority="8" dxfId="9" stopIfTrue="1">
      <formula>$D$9&lt;$C$7</formula>
    </cfRule>
  </conditionalFormatting>
  <conditionalFormatting sqref="D13">
    <cfRule type="expression" priority="2" dxfId="8" stopIfTrue="1">
      <formula>$C$13&gt;0</formula>
    </cfRule>
  </conditionalFormatting>
  <dataValidations count="2">
    <dataValidation type="list" allowBlank="1" showInputMessage="1" showErrorMessage="1" sqref="D10">
      <formula1>"ja,nein,"</formula1>
    </dataValidation>
    <dataValidation type="list" allowBlank="1" showInputMessage="1" showErrorMessage="1" sqref="C5">
      <formula1>jahre</formula1>
    </dataValidation>
  </dataValidations>
  <printOptions/>
  <pageMargins left="0.5511811023622047" right="0.5118110236220472" top="0.77" bottom="0.984251968503937" header="0.5118110236220472" footer="0.5118110236220472"/>
  <pageSetup horizontalDpi="300" verticalDpi="300" orientation="portrait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0"/>
  <sheetViews>
    <sheetView showGridLines="0" zoomScalePageLayoutView="0" workbookViewId="0" topLeftCell="A1">
      <selection activeCell="C4" sqref="C4"/>
    </sheetView>
  </sheetViews>
  <sheetFormatPr defaultColWidth="11.00390625" defaultRowHeight="12.75"/>
  <cols>
    <col min="1" max="1" width="2.625" style="161" customWidth="1"/>
    <col min="2" max="2" width="15.375" style="161" customWidth="1"/>
    <col min="3" max="3" width="7.375" style="161" customWidth="1"/>
    <col min="4" max="4" width="6.00390625" style="161" customWidth="1"/>
    <col min="5" max="5" width="6.75390625" style="161" customWidth="1"/>
    <col min="6" max="6" width="7.75390625" style="161" customWidth="1"/>
    <col min="7" max="7" width="6.00390625" style="161" customWidth="1"/>
    <col min="8" max="8" width="3.625" style="161" customWidth="1"/>
    <col min="9" max="9" width="14.25390625" style="161" customWidth="1"/>
    <col min="10" max="10" width="6.875" style="161" customWidth="1"/>
    <col min="11" max="11" width="6.625" style="161" customWidth="1"/>
    <col min="12" max="12" width="6.00390625" style="161" customWidth="1"/>
    <col min="13" max="13" width="6.75390625" style="161" customWidth="1"/>
    <col min="14" max="14" width="5.50390625" style="161" customWidth="1"/>
    <col min="15" max="15" width="7.00390625" style="161" customWidth="1"/>
    <col min="16" max="16" width="8.125" style="161" customWidth="1"/>
    <col min="17" max="17" width="7.875" style="161" customWidth="1"/>
    <col min="18" max="16384" width="11.00390625" style="161" customWidth="1"/>
  </cols>
  <sheetData>
    <row r="1" ht="14.25" customHeight="1">
      <c r="B1" s="160" t="s">
        <v>44</v>
      </c>
    </row>
    <row r="2" spans="2:14" ht="14.25">
      <c r="B2" s="162" t="s">
        <v>45</v>
      </c>
      <c r="I2" s="163"/>
      <c r="J2" s="163"/>
      <c r="K2" s="163"/>
      <c r="L2" s="163"/>
      <c r="M2" s="163"/>
      <c r="N2" s="163"/>
    </row>
    <row r="3" spans="2:19" ht="11.25">
      <c r="B3" s="164"/>
      <c r="C3" s="165"/>
      <c r="D3" s="166"/>
      <c r="E3" s="164"/>
      <c r="F3" s="164"/>
      <c r="G3" s="165"/>
      <c r="H3" s="165"/>
      <c r="I3" s="167"/>
      <c r="J3" s="167"/>
      <c r="K3" s="168"/>
      <c r="L3" s="168"/>
      <c r="M3" s="168"/>
      <c r="N3" s="168"/>
      <c r="O3" s="169"/>
      <c r="P3" s="169"/>
      <c r="Q3" s="169"/>
      <c r="R3" s="169"/>
      <c r="S3" s="169"/>
    </row>
    <row r="4" spans="2:19" ht="11.25">
      <c r="B4" s="170" t="s">
        <v>43</v>
      </c>
      <c r="C4" s="171">
        <v>2014</v>
      </c>
      <c r="D4" s="172"/>
      <c r="E4" s="172"/>
      <c r="F4" s="172"/>
      <c r="G4" s="172"/>
      <c r="H4" s="172"/>
      <c r="I4" s="173"/>
      <c r="J4" s="167"/>
      <c r="K4" s="167"/>
      <c r="L4" s="167"/>
      <c r="M4" s="167"/>
      <c r="N4" s="167"/>
      <c r="O4" s="169"/>
      <c r="P4" s="169"/>
      <c r="Q4" s="169"/>
      <c r="R4" s="169"/>
      <c r="S4" s="169"/>
    </row>
    <row r="5" spans="2:19" ht="11.25">
      <c r="B5" s="174" t="s">
        <v>21</v>
      </c>
      <c r="C5" s="175" t="s">
        <v>38</v>
      </c>
      <c r="D5" s="176" t="str">
        <f>IF(C5="privat","versichert","versichert (GKV)")</f>
        <v>versichert (GKV)</v>
      </c>
      <c r="E5" s="172"/>
      <c r="F5" s="172"/>
      <c r="G5" s="172"/>
      <c r="H5" s="172"/>
      <c r="I5" s="167"/>
      <c r="J5" s="167"/>
      <c r="K5" s="177" t="s">
        <v>19</v>
      </c>
      <c r="L5" s="177" t="s">
        <v>20</v>
      </c>
      <c r="M5" s="167" t="s">
        <v>80</v>
      </c>
      <c r="N5" s="167"/>
      <c r="R5" s="169"/>
      <c r="S5" s="169"/>
    </row>
    <row r="6" spans="2:19" ht="11.25">
      <c r="B6" s="172"/>
      <c r="C6" s="172"/>
      <c r="D6" s="172"/>
      <c r="E6" s="172"/>
      <c r="F6" s="172"/>
      <c r="G6" s="172"/>
      <c r="H6" s="178"/>
      <c r="I6" s="167"/>
      <c r="J6" s="177" t="s">
        <v>30</v>
      </c>
      <c r="K6" s="179">
        <f>F33</f>
        <v>182.25</v>
      </c>
      <c r="L6" s="179">
        <f>M21</f>
        <v>590</v>
      </c>
      <c r="M6" s="179">
        <f>M28</f>
        <v>370</v>
      </c>
      <c r="N6" s="167"/>
      <c r="O6" s="169"/>
      <c r="P6" s="169"/>
      <c r="Q6" s="169"/>
      <c r="R6" s="169"/>
      <c r="S6" s="169"/>
    </row>
    <row r="7" spans="2:19" ht="11.25">
      <c r="B7" s="172"/>
      <c r="C7" s="178"/>
      <c r="D7" s="178"/>
      <c r="E7" s="180" t="str">
        <f>"BMG "&amp;C4</f>
        <v>BMG 2014</v>
      </c>
      <c r="F7" s="181">
        <f>INDEX(daten,MATCH(C4,jahre,0),COLUMN(Zahlen!C3)-1)</f>
        <v>4050</v>
      </c>
      <c r="G7" s="182" t="s">
        <v>18</v>
      </c>
      <c r="H7" s="178"/>
      <c r="I7" s="167"/>
      <c r="J7" s="177" t="s">
        <v>29</v>
      </c>
      <c r="K7" s="179">
        <f>-F30</f>
        <v>93</v>
      </c>
      <c r="L7" s="179">
        <f>-M20</f>
        <v>90</v>
      </c>
      <c r="M7" s="179">
        <f>L7</f>
        <v>90</v>
      </c>
      <c r="N7" s="167"/>
      <c r="O7" s="169"/>
      <c r="P7" s="169"/>
      <c r="Q7" s="169"/>
      <c r="R7" s="169"/>
      <c r="S7" s="169"/>
    </row>
    <row r="8" spans="2:19" ht="11.25">
      <c r="B8" s="183" t="s">
        <v>33</v>
      </c>
      <c r="C8" s="184"/>
      <c r="D8" s="184"/>
      <c r="E8" s="184"/>
      <c r="F8" s="184"/>
      <c r="G8" s="178"/>
      <c r="H8" s="178"/>
      <c r="I8" s="167"/>
      <c r="J8" s="167"/>
      <c r="K8" s="167"/>
      <c r="L8" s="167"/>
      <c r="M8" s="167"/>
      <c r="N8" s="167"/>
      <c r="O8" s="169"/>
      <c r="P8" s="169"/>
      <c r="Q8" s="169"/>
      <c r="R8" s="169"/>
      <c r="S8" s="169"/>
    </row>
    <row r="9" spans="2:19" ht="11.25">
      <c r="B9" s="178"/>
      <c r="C9" s="165"/>
      <c r="D9" s="178"/>
      <c r="E9" s="178"/>
      <c r="F9" s="178"/>
      <c r="G9" s="178"/>
      <c r="H9" s="178"/>
      <c r="I9" s="167"/>
      <c r="J9" s="167"/>
      <c r="K9" s="167"/>
      <c r="L9" s="167"/>
      <c r="M9" s="167"/>
      <c r="N9" s="167"/>
      <c r="O9" s="169"/>
      <c r="P9" s="169"/>
      <c r="Q9" s="169"/>
      <c r="R9" s="169"/>
      <c r="S9" s="169"/>
    </row>
    <row r="10" spans="2:19" ht="11.25">
      <c r="B10" s="185" t="s">
        <v>81</v>
      </c>
      <c r="C10" s="170"/>
      <c r="D10" s="170"/>
      <c r="E10" s="170"/>
      <c r="F10" s="170"/>
      <c r="G10" s="170"/>
      <c r="H10" s="178"/>
      <c r="I10" s="167"/>
      <c r="J10" s="167"/>
      <c r="K10" s="167"/>
      <c r="L10" s="167"/>
      <c r="M10" s="167"/>
      <c r="N10" s="168"/>
      <c r="R10" s="169"/>
      <c r="S10" s="169"/>
    </row>
    <row r="11" spans="2:19" ht="11.25">
      <c r="B11" s="170" t="s">
        <v>22</v>
      </c>
      <c r="C11" s="186"/>
      <c r="D11" s="178"/>
      <c r="E11" s="178"/>
      <c r="F11" s="187">
        <v>1200</v>
      </c>
      <c r="G11" s="188" t="s">
        <v>18</v>
      </c>
      <c r="H11" s="178"/>
      <c r="I11" s="167"/>
      <c r="J11" s="167"/>
      <c r="K11" s="167"/>
      <c r="L11" s="167"/>
      <c r="M11" s="167"/>
      <c r="N11" s="168"/>
      <c r="R11" s="169"/>
      <c r="S11" s="169"/>
    </row>
    <row r="12" spans="2:19" ht="11.25">
      <c r="B12" s="170" t="s">
        <v>89</v>
      </c>
      <c r="C12" s="186"/>
      <c r="D12" s="178"/>
      <c r="E12" s="178"/>
      <c r="F12" s="189">
        <v>300</v>
      </c>
      <c r="G12" s="188" t="s">
        <v>18</v>
      </c>
      <c r="H12" s="178"/>
      <c r="I12" s="167"/>
      <c r="J12" s="167"/>
      <c r="K12" s="167"/>
      <c r="L12" s="167"/>
      <c r="M12" s="167"/>
      <c r="N12" s="168"/>
      <c r="R12" s="169"/>
      <c r="S12" s="169"/>
    </row>
    <row r="13" spans="2:19" ht="11.25">
      <c r="B13" s="170" t="s">
        <v>23</v>
      </c>
      <c r="C13" s="186"/>
      <c r="D13" s="178"/>
      <c r="E13" s="165"/>
      <c r="F13" s="189"/>
      <c r="G13" s="188" t="s">
        <v>18</v>
      </c>
      <c r="H13" s="178"/>
      <c r="I13" s="178"/>
      <c r="J13" s="178"/>
      <c r="K13" s="178"/>
      <c r="L13" s="178"/>
      <c r="M13" s="178"/>
      <c r="N13" s="178"/>
      <c r="O13" s="169"/>
      <c r="P13" s="169"/>
      <c r="Q13" s="169"/>
      <c r="R13" s="169"/>
      <c r="S13" s="169"/>
    </row>
    <row r="14" spans="2:19" ht="11.25">
      <c r="B14" s="170" t="s">
        <v>32</v>
      </c>
      <c r="C14" s="186"/>
      <c r="D14" s="165"/>
      <c r="E14" s="190"/>
      <c r="F14" s="191">
        <f>IF(E14&gt;0,E14/120,0)</f>
        <v>0</v>
      </c>
      <c r="G14" s="188" t="s">
        <v>18</v>
      </c>
      <c r="H14" s="178"/>
      <c r="I14" s="183" t="s">
        <v>34</v>
      </c>
      <c r="J14" s="184"/>
      <c r="K14" s="184"/>
      <c r="L14" s="184"/>
      <c r="M14" s="184"/>
      <c r="N14" s="178"/>
      <c r="O14" s="169"/>
      <c r="P14" s="169"/>
      <c r="Q14" s="169"/>
      <c r="R14" s="169"/>
      <c r="S14" s="169"/>
    </row>
    <row r="15" spans="2:19" ht="11.25">
      <c r="B15" s="170" t="s">
        <v>24</v>
      </c>
      <c r="C15" s="186"/>
      <c r="D15" s="178"/>
      <c r="E15" s="178"/>
      <c r="F15" s="189"/>
      <c r="G15" s="188" t="s">
        <v>18</v>
      </c>
      <c r="H15" s="178"/>
      <c r="I15" s="174"/>
      <c r="J15" s="165"/>
      <c r="K15" s="165"/>
      <c r="L15" s="165"/>
      <c r="M15" s="165"/>
      <c r="N15" s="165"/>
      <c r="O15" s="169"/>
      <c r="P15" s="169"/>
      <c r="Q15" s="169"/>
      <c r="R15" s="169"/>
      <c r="S15" s="169"/>
    </row>
    <row r="16" spans="2:19" ht="11.25">
      <c r="B16" s="185" t="s">
        <v>25</v>
      </c>
      <c r="C16" s="192"/>
      <c r="D16" s="193"/>
      <c r="E16" s="165"/>
      <c r="F16" s="194"/>
      <c r="G16" s="188" t="s">
        <v>18</v>
      </c>
      <c r="H16" s="178"/>
      <c r="I16" s="174" t="s">
        <v>17</v>
      </c>
      <c r="J16" s="165"/>
      <c r="K16" s="165"/>
      <c r="L16" s="165"/>
      <c r="M16" s="187">
        <v>600</v>
      </c>
      <c r="N16" s="178" t="s">
        <v>18</v>
      </c>
      <c r="O16" s="169"/>
      <c r="P16" s="169"/>
      <c r="Q16" s="169"/>
      <c r="R16" s="169"/>
      <c r="S16" s="169"/>
    </row>
    <row r="17" spans="2:19" ht="11.25">
      <c r="B17" s="170" t="s">
        <v>39</v>
      </c>
      <c r="C17" s="186"/>
      <c r="D17" s="178"/>
      <c r="E17" s="178"/>
      <c r="F17" s="195">
        <f>SUM(F11:F16)</f>
        <v>1500</v>
      </c>
      <c r="G17" s="188" t="s">
        <v>18</v>
      </c>
      <c r="H17" s="165"/>
      <c r="I17" s="185" t="s">
        <v>4</v>
      </c>
      <c r="J17" s="193"/>
      <c r="K17" s="172"/>
      <c r="L17" s="193"/>
      <c r="M17" s="196">
        <v>80</v>
      </c>
      <c r="N17" s="178" t="s">
        <v>18</v>
      </c>
      <c r="O17" s="169"/>
      <c r="P17" s="169"/>
      <c r="Q17" s="169"/>
      <c r="R17" s="169"/>
      <c r="S17" s="169"/>
    </row>
    <row r="18" spans="2:19" ht="11.25">
      <c r="B18" s="197" t="s">
        <v>88</v>
      </c>
      <c r="C18" s="197"/>
      <c r="D18" s="198">
        <f>INDEX(daten,MATCH(C4,jahre,0),COLUMN(Zahlen!G3)-1)</f>
        <v>921.67</v>
      </c>
      <c r="E18" s="199" t="s">
        <v>18</v>
      </c>
      <c r="F18" s="195"/>
      <c r="G18" s="165"/>
      <c r="H18" s="165"/>
      <c r="I18" s="174" t="s">
        <v>31</v>
      </c>
      <c r="J18" s="165"/>
      <c r="K18" s="172"/>
      <c r="L18" s="200">
        <v>1</v>
      </c>
      <c r="M18" s="195">
        <f>SUM(M16:M17)</f>
        <v>680</v>
      </c>
      <c r="N18" s="178" t="s">
        <v>18</v>
      </c>
      <c r="O18" s="169"/>
      <c r="P18" s="169"/>
      <c r="Q18" s="169"/>
      <c r="R18" s="169"/>
      <c r="S18" s="169"/>
    </row>
    <row r="19" spans="2:19" ht="12" thickBot="1">
      <c r="B19" s="174"/>
      <c r="C19" s="174"/>
      <c r="D19" s="174"/>
      <c r="E19" s="174"/>
      <c r="F19" s="195"/>
      <c r="G19" s="165"/>
      <c r="H19" s="165"/>
      <c r="I19" s="201" t="s">
        <v>96</v>
      </c>
      <c r="J19" s="172"/>
      <c r="K19" s="172"/>
      <c r="L19" s="202">
        <v>0.15</v>
      </c>
      <c r="M19" s="172"/>
      <c r="N19" s="172"/>
      <c r="O19" s="169"/>
      <c r="P19" s="169"/>
      <c r="Q19" s="169"/>
      <c r="R19" s="169"/>
      <c r="S19" s="169"/>
    </row>
    <row r="20" spans="2:19" ht="11.25">
      <c r="B20" s="203" t="s">
        <v>82</v>
      </c>
      <c r="C20" s="174"/>
      <c r="D20" s="174"/>
      <c r="E20" s="174"/>
      <c r="F20" s="195">
        <f>SUM(F11:F14)</f>
        <v>1500</v>
      </c>
      <c r="G20" s="165" t="s">
        <v>18</v>
      </c>
      <c r="H20" s="165"/>
      <c r="I20" s="185" t="s">
        <v>84</v>
      </c>
      <c r="J20" s="193"/>
      <c r="K20" s="165"/>
      <c r="L20" s="204"/>
      <c r="M20" s="205">
        <f>-IF(M18&gt;0,MIN(F7,F20-F12)*L19*0.5,0)</f>
        <v>-90</v>
      </c>
      <c r="N20" s="178" t="s">
        <v>18</v>
      </c>
      <c r="O20" s="206"/>
      <c r="P20" s="169"/>
      <c r="Q20" s="169"/>
      <c r="R20" s="169"/>
      <c r="S20" s="169"/>
    </row>
    <row r="21" spans="2:19" ht="11.25">
      <c r="B21" s="207" t="s">
        <v>95</v>
      </c>
      <c r="C21" s="176"/>
      <c r="D21" s="172"/>
      <c r="E21" s="208">
        <f>INDEX(daten,MATCH(C4,jahre,0),COLUMN(Zahlen!H3)-1)</f>
        <v>0.155</v>
      </c>
      <c r="F21" s="195">
        <f>MAX(D18,MIN(F$20,F$7))*E21</f>
        <v>232.5</v>
      </c>
      <c r="G21" s="165" t="s">
        <v>18</v>
      </c>
      <c r="H21" s="165"/>
      <c r="I21" s="255" t="s">
        <v>41</v>
      </c>
      <c r="J21" s="256"/>
      <c r="K21" s="256"/>
      <c r="L21" s="209">
        <f>IF(M18&gt;0,M21/M18,0)</f>
        <v>0.8676470588235294</v>
      </c>
      <c r="M21" s="257">
        <f>SUM(M18,M20)</f>
        <v>590</v>
      </c>
      <c r="N21" s="256" t="s">
        <v>18</v>
      </c>
      <c r="O21" s="206"/>
      <c r="P21" s="169"/>
      <c r="Q21" s="169"/>
      <c r="R21" s="169"/>
      <c r="S21" s="169"/>
    </row>
    <row r="22" spans="2:19" ht="11.25">
      <c r="B22" s="207" t="s">
        <v>94</v>
      </c>
      <c r="C22" s="172"/>
      <c r="D22" s="172"/>
      <c r="E22" s="208">
        <v>0.009</v>
      </c>
      <c r="F22" s="195">
        <f>MAX(D18,MIN(F$20,F$7))*E22</f>
        <v>13.499999999999998</v>
      </c>
      <c r="G22" s="165" t="s">
        <v>18</v>
      </c>
      <c r="H22" s="165"/>
      <c r="I22" s="172"/>
      <c r="J22" s="172"/>
      <c r="K22" s="172"/>
      <c r="L22" s="172"/>
      <c r="M22" s="178"/>
      <c r="N22" s="195"/>
      <c r="O22" s="169"/>
      <c r="P22" s="169"/>
      <c r="Q22" s="169"/>
      <c r="R22" s="169"/>
      <c r="S22" s="169"/>
    </row>
    <row r="23" spans="2:19" ht="11.25" customHeight="1">
      <c r="B23" s="207" t="s">
        <v>4</v>
      </c>
      <c r="C23" s="176"/>
      <c r="D23" s="165"/>
      <c r="E23" s="210">
        <v>0.0195</v>
      </c>
      <c r="F23" s="195">
        <f>MAX(D18,MIN(F20,F7))*E23</f>
        <v>29.25</v>
      </c>
      <c r="G23" s="165" t="s">
        <v>18</v>
      </c>
      <c r="H23" s="165"/>
      <c r="I23" s="211"/>
      <c r="J23" s="212"/>
      <c r="K23" s="212"/>
      <c r="L23" s="213" t="s">
        <v>86</v>
      </c>
      <c r="M23" s="199"/>
      <c r="N23" s="178"/>
      <c r="O23" s="169"/>
      <c r="P23" s="169"/>
      <c r="Q23" s="169"/>
      <c r="R23" s="169"/>
      <c r="S23" s="169"/>
    </row>
    <row r="24" spans="2:19" ht="11.25">
      <c r="B24" s="165"/>
      <c r="C24" s="165"/>
      <c r="D24" s="165"/>
      <c r="E24" s="165"/>
      <c r="F24" s="165"/>
      <c r="G24" s="165"/>
      <c r="H24" s="214"/>
      <c r="I24" s="197" t="s">
        <v>85</v>
      </c>
      <c r="J24" s="212"/>
      <c r="K24" s="212"/>
      <c r="L24" s="215">
        <f>INDEX(daten,MATCH(C4,jahre,0),COLUMN(Zahlen!I3)-1)</f>
        <v>627.75</v>
      </c>
      <c r="M24" s="187">
        <v>400</v>
      </c>
      <c r="N24" s="216" t="s">
        <v>18</v>
      </c>
      <c r="O24" s="169"/>
      <c r="P24" s="169"/>
      <c r="Q24" s="169"/>
      <c r="R24" s="169"/>
      <c r="S24" s="169"/>
    </row>
    <row r="25" spans="2:19" ht="11.25">
      <c r="B25" s="217" t="s">
        <v>83</v>
      </c>
      <c r="C25" s="218"/>
      <c r="D25" s="165"/>
      <c r="E25" s="165"/>
      <c r="F25" s="219">
        <f>IF(C5="freiwillig",F15+F16,0)</f>
        <v>0</v>
      </c>
      <c r="G25" s="165" t="s">
        <v>18</v>
      </c>
      <c r="H25" s="195"/>
      <c r="I25" s="220" t="s">
        <v>27</v>
      </c>
      <c r="J25" s="221"/>
      <c r="K25" s="212"/>
      <c r="L25" s="215">
        <f>INDEX(daten,MATCH(C4,jahre,0),COLUMN(Zahlen!L3)-1)</f>
        <v>93.15</v>
      </c>
      <c r="M25" s="222">
        <v>60</v>
      </c>
      <c r="N25" s="216" t="s">
        <v>18</v>
      </c>
      <c r="O25" s="169"/>
      <c r="P25" s="169"/>
      <c r="Q25" s="169"/>
      <c r="R25" s="169"/>
      <c r="S25" s="169"/>
    </row>
    <row r="26" spans="2:19" ht="12" thickBot="1">
      <c r="B26" s="207" t="s">
        <v>26</v>
      </c>
      <c r="C26" s="176"/>
      <c r="D26" s="165"/>
      <c r="E26" s="223">
        <v>0.128</v>
      </c>
      <c r="F26" s="195">
        <f>MIN(F25,F7)*E26</f>
        <v>0</v>
      </c>
      <c r="G26" s="165" t="s">
        <v>18</v>
      </c>
      <c r="H26" s="195"/>
      <c r="I26" s="197" t="s">
        <v>17</v>
      </c>
      <c r="J26" s="212"/>
      <c r="K26" s="212"/>
      <c r="L26" s="215">
        <f>SUM(L24:L25)</f>
        <v>720.9</v>
      </c>
      <c r="M26" s="199">
        <f>SUM(MIN(L24:M24),MIN(L25:M25))</f>
        <v>460</v>
      </c>
      <c r="N26" s="216" t="s">
        <v>18</v>
      </c>
      <c r="O26" s="169"/>
      <c r="P26" s="169"/>
      <c r="Q26" s="169"/>
      <c r="R26" s="169"/>
      <c r="S26" s="169"/>
    </row>
    <row r="27" spans="2:19" ht="11.25">
      <c r="B27" s="224" t="s">
        <v>4</v>
      </c>
      <c r="C27" s="192"/>
      <c r="D27" s="165"/>
      <c r="E27" s="210">
        <f>E23</f>
        <v>0.0195</v>
      </c>
      <c r="F27" s="205">
        <f>MIN(F25,F7)*E27</f>
        <v>0</v>
      </c>
      <c r="G27" s="165" t="s">
        <v>18</v>
      </c>
      <c r="H27" s="165"/>
      <c r="I27" s="220" t="s">
        <v>84</v>
      </c>
      <c r="J27" s="221"/>
      <c r="K27" s="212"/>
      <c r="L27" s="172"/>
      <c r="M27" s="225">
        <f>M20</f>
        <v>-90</v>
      </c>
      <c r="N27" s="216" t="s">
        <v>18</v>
      </c>
      <c r="O27" s="169"/>
      <c r="P27" s="169"/>
      <c r="Q27" s="169"/>
      <c r="R27" s="169"/>
      <c r="S27" s="169"/>
    </row>
    <row r="28" spans="2:19" ht="11.25">
      <c r="B28" s="226" t="s">
        <v>36</v>
      </c>
      <c r="C28" s="172"/>
      <c r="D28" s="172"/>
      <c r="E28" s="172"/>
      <c r="F28" s="227">
        <f>SUM(F21:F27)</f>
        <v>275.25</v>
      </c>
      <c r="G28" s="165" t="s">
        <v>18</v>
      </c>
      <c r="H28" s="165"/>
      <c r="I28" s="228" t="s">
        <v>40</v>
      </c>
      <c r="J28" s="229"/>
      <c r="K28" s="229"/>
      <c r="L28" s="172"/>
      <c r="M28" s="230">
        <f>SUM(M26:M27)</f>
        <v>370</v>
      </c>
      <c r="N28" s="231" t="s">
        <v>18</v>
      </c>
      <c r="O28" s="169"/>
      <c r="P28" s="169"/>
      <c r="Q28" s="169"/>
      <c r="R28" s="169"/>
      <c r="S28" s="169"/>
    </row>
    <row r="29" spans="2:19" ht="11.25">
      <c r="B29" s="207" t="s">
        <v>91</v>
      </c>
      <c r="C29" s="176"/>
      <c r="D29" s="165"/>
      <c r="E29" s="200">
        <v>1</v>
      </c>
      <c r="F29" s="195">
        <f>F21+F22+F26</f>
        <v>246</v>
      </c>
      <c r="G29" s="165" t="s">
        <v>18</v>
      </c>
      <c r="H29" s="232"/>
      <c r="I29" s="172"/>
      <c r="J29" s="172"/>
      <c r="K29" s="172"/>
      <c r="L29" s="172"/>
      <c r="M29" s="172"/>
      <c r="N29" s="172"/>
      <c r="O29" s="169"/>
      <c r="P29" s="169"/>
      <c r="Q29" s="169"/>
      <c r="R29" s="169"/>
      <c r="S29" s="169"/>
    </row>
    <row r="30" spans="2:19" ht="11.25">
      <c r="B30" s="224" t="s">
        <v>84</v>
      </c>
      <c r="C30" s="192"/>
      <c r="D30" s="165"/>
      <c r="E30" s="204">
        <f>IF(F11&gt;0,F30/F29,0)</f>
        <v>-0.3780487804878049</v>
      </c>
      <c r="F30" s="205">
        <f>-MIN(F20-F12,F7)*E21*0.5</f>
        <v>-93</v>
      </c>
      <c r="G30" s="165" t="s">
        <v>18</v>
      </c>
      <c r="H30" s="165"/>
      <c r="I30" s="233" t="s">
        <v>79</v>
      </c>
      <c r="J30" s="216"/>
      <c r="K30" s="216"/>
      <c r="L30" s="216"/>
      <c r="M30" s="216"/>
      <c r="N30" s="178"/>
      <c r="O30" s="169"/>
      <c r="P30" s="169"/>
      <c r="Q30" s="169"/>
      <c r="R30" s="169"/>
      <c r="S30" s="169"/>
    </row>
    <row r="31" spans="2:19" ht="11.25">
      <c r="B31" s="234" t="s">
        <v>28</v>
      </c>
      <c r="C31" s="235"/>
      <c r="D31" s="236"/>
      <c r="E31" s="237">
        <f>SUM(E29:E30)</f>
        <v>0.6219512195121951</v>
      </c>
      <c r="F31" s="238">
        <f>SUM(F29:F30)</f>
        <v>153</v>
      </c>
      <c r="G31" s="236" t="s">
        <v>18</v>
      </c>
      <c r="H31" s="165"/>
      <c r="I31" s="239" t="s">
        <v>35</v>
      </c>
      <c r="J31" s="216"/>
      <c r="K31" s="216"/>
      <c r="L31" s="216"/>
      <c r="M31" s="240" t="s">
        <v>0</v>
      </c>
      <c r="N31" s="178"/>
      <c r="O31" s="169"/>
      <c r="P31" s="169"/>
      <c r="Q31" s="169"/>
      <c r="R31" s="169"/>
      <c r="S31" s="169"/>
    </row>
    <row r="32" spans="2:19" ht="11.25">
      <c r="B32" s="224" t="s">
        <v>27</v>
      </c>
      <c r="C32" s="193"/>
      <c r="D32" s="165"/>
      <c r="E32" s="165"/>
      <c r="F32" s="205">
        <f>F23+F27</f>
        <v>29.25</v>
      </c>
      <c r="G32" s="165" t="s">
        <v>18</v>
      </c>
      <c r="H32" s="165"/>
      <c r="I32" s="220" t="str">
        <f>"Einkommen unter "&amp;FIXED(INDEX(daten,MATCH(C4,jahre,0),COLUMN(Zahlen!D3)-1),2)&amp;" EUR ?"</f>
        <v>Einkommen unter 4.462,50 EUR ?</v>
      </c>
      <c r="J32" s="221"/>
      <c r="K32" s="221"/>
      <c r="L32" s="216"/>
      <c r="M32" s="241" t="s">
        <v>0</v>
      </c>
      <c r="N32" s="232">
        <f>IF(M31="ja",IF(M32="ja",55,65),0)</f>
        <v>55</v>
      </c>
      <c r="O32" s="169"/>
      <c r="P32" s="169"/>
      <c r="Q32" s="169"/>
      <c r="R32" s="169"/>
      <c r="S32" s="169"/>
    </row>
    <row r="33" spans="2:19" ht="11.25">
      <c r="B33" s="254" t="s">
        <v>42</v>
      </c>
      <c r="C33" s="242"/>
      <c r="D33" s="243"/>
      <c r="E33" s="244">
        <f>IF(F29&gt;0,E31+F32/F29,0)</f>
        <v>0.7408536585365854</v>
      </c>
      <c r="F33" s="253">
        <f>SUM(F31:F32)</f>
        <v>182.25</v>
      </c>
      <c r="G33" s="258" t="s">
        <v>18</v>
      </c>
      <c r="H33" s="165"/>
      <c r="I33" s="197" t="str">
        <f>IF(N32&gt;0,"ab "&amp;N32&amp;" Jahren Wechsel in Standardtarif möglich!","kein Recht auf Standardtarif!")</f>
        <v>ab 55 Jahren Wechsel in Standardtarif möglich!</v>
      </c>
      <c r="J33" s="212"/>
      <c r="K33" s="212"/>
      <c r="L33" s="212"/>
      <c r="M33" s="199"/>
      <c r="N33" s="178"/>
      <c r="O33" s="169"/>
      <c r="P33" s="169"/>
      <c r="Q33" s="169"/>
      <c r="R33" s="169"/>
      <c r="S33" s="169"/>
    </row>
    <row r="34" spans="2:19" ht="11.25">
      <c r="B34" s="245"/>
      <c r="C34" s="172"/>
      <c r="D34" s="172"/>
      <c r="E34" s="172"/>
      <c r="F34" s="172"/>
      <c r="G34" s="246"/>
      <c r="H34" s="165"/>
      <c r="I34" s="165"/>
      <c r="J34" s="165"/>
      <c r="K34" s="165"/>
      <c r="L34" s="165"/>
      <c r="M34" s="165"/>
      <c r="N34" s="165"/>
      <c r="O34" s="169"/>
      <c r="P34" s="169"/>
      <c r="Q34" s="169"/>
      <c r="R34" s="169"/>
      <c r="S34" s="169"/>
    </row>
    <row r="35" spans="2:19" ht="11.25">
      <c r="B35" s="247" t="str">
        <f>IF(M21&gt;0,IF(M21&gt;F33,"Vorteil GKV um . . .","Vorteil PKV um . . ."),"")</f>
        <v>Vorteil GKV um . . .</v>
      </c>
      <c r="C35" s="248">
        <f>IF(M21&gt;0,IF(M21&gt;F33,M21-F33,F33-M21),"")</f>
        <v>407.75</v>
      </c>
      <c r="D35" s="249" t="str">
        <f>IF(C35&lt;&gt;"","€","")</f>
        <v>€</v>
      </c>
      <c r="E35" s="163"/>
      <c r="F35" s="163"/>
      <c r="G35" s="250"/>
      <c r="H35" s="249"/>
      <c r="P35" s="169"/>
      <c r="Q35" s="169"/>
      <c r="R35" s="169"/>
      <c r="S35" s="169"/>
    </row>
    <row r="36" spans="2:19" ht="11.25">
      <c r="B36" s="163"/>
      <c r="C36" s="163"/>
      <c r="D36" s="163"/>
      <c r="E36" s="163"/>
      <c r="F36" s="163"/>
      <c r="G36" s="250"/>
      <c r="H36" s="249"/>
      <c r="P36" s="169"/>
      <c r="Q36" s="169"/>
      <c r="R36" s="169"/>
      <c r="S36" s="169"/>
    </row>
    <row r="37" spans="2:19" ht="11.25">
      <c r="B37" s="163"/>
      <c r="C37" s="163"/>
      <c r="D37" s="163"/>
      <c r="E37" s="163"/>
      <c r="F37" s="163"/>
      <c r="G37" s="250"/>
      <c r="H37" s="249"/>
      <c r="P37" s="169"/>
      <c r="Q37" s="169"/>
      <c r="R37" s="169"/>
      <c r="S37" s="169"/>
    </row>
    <row r="38" spans="2:19" ht="11.25">
      <c r="B38" s="163"/>
      <c r="C38" s="163"/>
      <c r="D38" s="163"/>
      <c r="E38" s="163"/>
      <c r="F38" s="163"/>
      <c r="G38" s="250"/>
      <c r="H38" s="249"/>
      <c r="P38" s="169"/>
      <c r="Q38" s="169"/>
      <c r="R38" s="169"/>
      <c r="S38" s="169"/>
    </row>
    <row r="39" spans="2:19" ht="11.25">
      <c r="B39" s="163"/>
      <c r="C39" s="163"/>
      <c r="D39" s="163"/>
      <c r="E39" s="163"/>
      <c r="F39" s="163"/>
      <c r="G39" s="250"/>
      <c r="H39" s="251"/>
      <c r="P39" s="169"/>
      <c r="Q39" s="169"/>
      <c r="R39" s="169"/>
      <c r="S39" s="169"/>
    </row>
    <row r="40" spans="7:19" ht="11.25">
      <c r="G40" s="252"/>
      <c r="H40" s="249"/>
      <c r="I40" s="249"/>
      <c r="J40" s="249"/>
      <c r="K40" s="249"/>
      <c r="L40" s="249"/>
      <c r="M40" s="251"/>
      <c r="N40" s="251"/>
      <c r="O40" s="169"/>
      <c r="P40" s="169"/>
      <c r="Q40" s="169"/>
      <c r="R40" s="169"/>
      <c r="S40" s="169"/>
    </row>
  </sheetData>
  <sheetProtection formatCells="0"/>
  <conditionalFormatting sqref="B16:G16">
    <cfRule type="expression" priority="1" dxfId="9" stopIfTrue="1">
      <formula>$C5&lt;&gt;"freiwillig"</formula>
    </cfRule>
  </conditionalFormatting>
  <conditionalFormatting sqref="B14:F14">
    <cfRule type="expression" priority="2" dxfId="10" stopIfTrue="1">
      <formula>$F$167="privat versichert"</formula>
    </cfRule>
  </conditionalFormatting>
  <conditionalFormatting sqref="B25:C27 F25 D26:F27 G25:G27">
    <cfRule type="expression" priority="4" dxfId="11" stopIfTrue="1">
      <formula>OR($C$5="pflicht",$C$5="privat")</formula>
    </cfRule>
  </conditionalFormatting>
  <conditionalFormatting sqref="B15:G15">
    <cfRule type="expression" priority="5" dxfId="9" stopIfTrue="1">
      <formula>$C$5&lt;&gt;"freiwillig"</formula>
    </cfRule>
  </conditionalFormatting>
  <conditionalFormatting sqref="H13">
    <cfRule type="expression" priority="6" dxfId="9" stopIfTrue="1">
      <formula>$F$167&lt;&gt;"freiwillig versichert"</formula>
    </cfRule>
  </conditionalFormatting>
  <dataValidations count="3">
    <dataValidation type="list" allowBlank="1" showInputMessage="1" showErrorMessage="1" sqref="M31:M32">
      <formula1>"ja,nein,"</formula1>
    </dataValidation>
    <dataValidation type="list" allowBlank="1" showInputMessage="1" showErrorMessage="1" sqref="C5">
      <formula1>"pflicht,freiwillig,privat,"</formula1>
    </dataValidation>
    <dataValidation type="list" allowBlank="1" showInputMessage="1" showErrorMessage="1" sqref="C4">
      <formula1>jahre</formula1>
    </dataValidation>
  </dataValidations>
  <printOptions/>
  <pageMargins left="0.38" right="0.35" top="0.68" bottom="0.55" header="0.4921259845" footer="0.29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14"/>
  <sheetViews>
    <sheetView showGridLines="0" zoomScalePageLayoutView="0" workbookViewId="0" topLeftCell="A1">
      <selection activeCell="F22" sqref="F22"/>
    </sheetView>
  </sheetViews>
  <sheetFormatPr defaultColWidth="11.00390625" defaultRowHeight="12.75"/>
  <cols>
    <col min="1" max="1" width="5.75390625" style="2" customWidth="1"/>
    <col min="2" max="2" width="20.00390625" style="2" customWidth="1"/>
    <col min="3" max="3" width="6.625" style="2" customWidth="1"/>
    <col min="4" max="4" width="7.375" style="2" customWidth="1"/>
    <col min="5" max="5" width="8.875" style="2" customWidth="1"/>
    <col min="6" max="6" width="7.125" style="2" customWidth="1"/>
    <col min="7" max="16384" width="11.00390625" style="2" customWidth="1"/>
  </cols>
  <sheetData>
    <row r="3" ht="14.25">
      <c r="B3" s="154" t="s">
        <v>46</v>
      </c>
    </row>
    <row r="4" spans="2:6" ht="11.25" customHeight="1">
      <c r="B4" s="79"/>
      <c r="C4" s="43"/>
      <c r="D4" s="43"/>
      <c r="E4" s="43"/>
      <c r="F4" s="43"/>
    </row>
    <row r="5" spans="2:6" ht="11.25" customHeight="1">
      <c r="B5" s="15" t="s">
        <v>63</v>
      </c>
      <c r="C5" s="43"/>
      <c r="D5" s="136">
        <v>2014</v>
      </c>
      <c r="E5" s="43"/>
      <c r="F5" s="43"/>
    </row>
    <row r="6" spans="2:6" ht="11.25">
      <c r="B6" s="15" t="s">
        <v>9</v>
      </c>
      <c r="C6" s="43"/>
      <c r="D6" s="57" t="s">
        <v>14</v>
      </c>
      <c r="E6" s="43"/>
      <c r="F6" s="43"/>
    </row>
    <row r="7" spans="2:6" ht="11.25">
      <c r="B7" s="3"/>
      <c r="C7" s="3"/>
      <c r="D7" s="3"/>
      <c r="E7" s="9"/>
      <c r="F7" s="31"/>
    </row>
    <row r="8" spans="2:6" ht="11.25">
      <c r="B8" s="15" t="s">
        <v>62</v>
      </c>
      <c r="C8" s="3"/>
      <c r="D8" s="3"/>
      <c r="E8" s="9">
        <f>INDEX(daten,MATCH(D5,jahre,0),COLUMN(Zahlen!G3)-1)</f>
        <v>921.67</v>
      </c>
      <c r="F8" s="31" t="s">
        <v>11</v>
      </c>
    </row>
    <row r="9" spans="2:6" ht="11.25">
      <c r="B9" s="15" t="s">
        <v>12</v>
      </c>
      <c r="C9" s="56"/>
      <c r="D9" s="40">
        <f>INDEX(daten,MATCH(D$5,jahre,0),COLUMN(Zahlen!H3)-1)</f>
        <v>0.155</v>
      </c>
      <c r="E9" s="18">
        <f>IF(C9&gt;0,C9*E8,E8*D9)</f>
        <v>142.85885</v>
      </c>
      <c r="F9" s="31" t="s">
        <v>11</v>
      </c>
    </row>
    <row r="10" spans="2:6" ht="11.25">
      <c r="B10" s="11" t="s">
        <v>4</v>
      </c>
      <c r="C10" s="32"/>
      <c r="D10" s="40">
        <f>IF(D6="nein",INDEX(daten,MATCH(D$5,jahre,0),COLUMN(Zahlen!J3)-1),INDEX(daten,MATCH(D$5,jahre,0),COLUMN(Zahlen!K3)-1))</f>
        <v>0.0205</v>
      </c>
      <c r="E10" s="12">
        <f>E8*D10</f>
        <v>18.894235</v>
      </c>
      <c r="F10" s="31" t="s">
        <v>11</v>
      </c>
    </row>
    <row r="11" spans="2:6" ht="11.25">
      <c r="B11" s="25" t="s">
        <v>31</v>
      </c>
      <c r="C11" s="80"/>
      <c r="D11" s="14"/>
      <c r="E11" s="44">
        <f>SUM(E9:E10)</f>
        <v>161.753085</v>
      </c>
      <c r="F11" s="78" t="s">
        <v>11</v>
      </c>
    </row>
    <row r="12" spans="2:6" ht="11.25">
      <c r="B12" s="6"/>
      <c r="C12" s="31"/>
      <c r="D12" s="3"/>
      <c r="E12" s="3"/>
      <c r="F12" s="41"/>
    </row>
    <row r="13" spans="2:6" ht="11.25">
      <c r="B13" s="91" t="s">
        <v>13</v>
      </c>
      <c r="C13" s="3"/>
      <c r="D13" s="3"/>
      <c r="E13" s="8"/>
      <c r="F13" s="3"/>
    </row>
    <row r="14" ht="11.25">
      <c r="F14" s="155" t="s">
        <v>13</v>
      </c>
    </row>
  </sheetData>
  <sheetProtection formatCells="0"/>
  <dataValidations count="2">
    <dataValidation type="list" allowBlank="1" showInputMessage="1" showErrorMessage="1" sqref="D6">
      <formula1>"ja,nein,"</formula1>
    </dataValidation>
    <dataValidation type="list" allowBlank="1" showInputMessage="1" showErrorMessage="1" sqref="D5">
      <formula1>jahre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A1">
      <selection activeCell="I13" sqref="I13"/>
    </sheetView>
  </sheetViews>
  <sheetFormatPr defaultColWidth="11.00390625" defaultRowHeight="12.75"/>
  <cols>
    <col min="1" max="1" width="3.00390625" style="126" customWidth="1"/>
    <col min="2" max="2" width="7.50390625" style="126" customWidth="1"/>
    <col min="3" max="3" width="10.00390625" style="126" customWidth="1"/>
    <col min="4" max="4" width="8.625" style="126" customWidth="1"/>
    <col min="5" max="5" width="10.125" style="126" customWidth="1"/>
    <col min="6" max="6" width="9.75390625" style="126" customWidth="1"/>
    <col min="7" max="7" width="11.00390625" style="126" customWidth="1"/>
    <col min="8" max="9" width="8.75390625" style="126" customWidth="1"/>
    <col min="10" max="10" width="7.75390625" style="126" customWidth="1"/>
    <col min="11" max="12" width="7.50390625" style="126" customWidth="1"/>
    <col min="13" max="13" width="3.25390625" style="126" customWidth="1"/>
    <col min="14" max="14" width="9.125" style="126" customWidth="1"/>
    <col min="15" max="16384" width="11.00390625" style="126" customWidth="1"/>
  </cols>
  <sheetData>
    <row r="2" spans="1:13" ht="11.25">
      <c r="A2" s="131"/>
      <c r="B2" s="132"/>
      <c r="C2" s="133"/>
      <c r="D2" s="133"/>
      <c r="E2" s="141" t="s">
        <v>37</v>
      </c>
      <c r="F2" s="129"/>
      <c r="G2" s="129"/>
      <c r="H2" s="129"/>
      <c r="I2" s="129"/>
      <c r="J2" s="260" t="s">
        <v>71</v>
      </c>
      <c r="K2" s="261"/>
      <c r="L2" s="129"/>
      <c r="M2" s="131"/>
    </row>
    <row r="3" spans="1:14" ht="23.25" customHeight="1">
      <c r="A3" s="131"/>
      <c r="B3" s="134" t="s">
        <v>60</v>
      </c>
      <c r="C3" s="138" t="s">
        <v>70</v>
      </c>
      <c r="D3" s="138" t="s">
        <v>61</v>
      </c>
      <c r="E3" s="138" t="s">
        <v>76</v>
      </c>
      <c r="F3" s="138" t="s">
        <v>68</v>
      </c>
      <c r="G3" s="139" t="s">
        <v>69</v>
      </c>
      <c r="H3" s="138" t="s">
        <v>72</v>
      </c>
      <c r="I3" s="148" t="s">
        <v>87</v>
      </c>
      <c r="J3" s="140" t="s">
        <v>67</v>
      </c>
      <c r="K3" s="138" t="s">
        <v>64</v>
      </c>
      <c r="L3" s="148" t="s">
        <v>87</v>
      </c>
      <c r="M3" s="129"/>
      <c r="N3" s="126" t="s">
        <v>90</v>
      </c>
    </row>
    <row r="4" spans="1:15" ht="11.25">
      <c r="A4" s="131"/>
      <c r="B4" s="123">
        <v>2008</v>
      </c>
      <c r="C4" s="127">
        <v>3600</v>
      </c>
      <c r="D4" s="127">
        <v>4012.5</v>
      </c>
      <c r="E4" s="127">
        <v>1863.75</v>
      </c>
      <c r="F4" s="127">
        <v>1225</v>
      </c>
      <c r="G4" s="127">
        <v>828.33</v>
      </c>
      <c r="H4" s="142"/>
      <c r="I4" s="127"/>
      <c r="J4" s="125">
        <v>0.0195</v>
      </c>
      <c r="K4" s="125">
        <v>0.022</v>
      </c>
      <c r="L4" s="127"/>
      <c r="M4" s="135"/>
      <c r="N4" s="153"/>
      <c r="O4" s="127"/>
    </row>
    <row r="5" spans="1:15" ht="11.25">
      <c r="A5" s="131"/>
      <c r="B5" s="123">
        <v>2009</v>
      </c>
      <c r="C5" s="127">
        <v>3675</v>
      </c>
      <c r="D5" s="127">
        <v>4050</v>
      </c>
      <c r="E5" s="127">
        <v>1890</v>
      </c>
      <c r="F5" s="127">
        <v>1260</v>
      </c>
      <c r="G5" s="127">
        <v>851.67</v>
      </c>
      <c r="H5" s="124">
        <v>0.155</v>
      </c>
      <c r="I5" s="127">
        <v>569.63</v>
      </c>
      <c r="J5" s="125">
        <v>0.0195</v>
      </c>
      <c r="K5" s="125">
        <v>0.022</v>
      </c>
      <c r="L5" s="127">
        <v>80.85</v>
      </c>
      <c r="M5" s="135"/>
      <c r="N5" s="153">
        <f aca="true" t="shared" si="0" ref="N5:N11">(C5-C4)/C4</f>
        <v>0.020833333333333332</v>
      </c>
      <c r="O5" s="127"/>
    </row>
    <row r="6" spans="1:15" ht="11.25">
      <c r="A6" s="131"/>
      <c r="B6" s="123">
        <v>2010</v>
      </c>
      <c r="C6" s="127">
        <v>3750</v>
      </c>
      <c r="D6" s="127">
        <v>4162.5</v>
      </c>
      <c r="E6" s="127">
        <v>1916.25</v>
      </c>
      <c r="F6" s="127">
        <v>1277.5</v>
      </c>
      <c r="G6" s="127">
        <v>851.67</v>
      </c>
      <c r="H6" s="124">
        <v>0.149</v>
      </c>
      <c r="I6" s="127">
        <v>558.75</v>
      </c>
      <c r="J6" s="125">
        <v>0.0195</v>
      </c>
      <c r="K6" s="125">
        <v>0.022</v>
      </c>
      <c r="L6" s="127">
        <v>82.5</v>
      </c>
      <c r="M6" s="135"/>
      <c r="N6" s="153">
        <f t="shared" si="0"/>
        <v>0.02040816326530612</v>
      </c>
      <c r="O6" s="127"/>
    </row>
    <row r="7" spans="1:15" ht="11.25">
      <c r="A7" s="131"/>
      <c r="B7" s="123">
        <v>2011</v>
      </c>
      <c r="C7" s="127">
        <v>3712.5</v>
      </c>
      <c r="D7" s="127">
        <v>4125</v>
      </c>
      <c r="E7" s="127">
        <v>1916.25</v>
      </c>
      <c r="F7" s="127">
        <v>1277.5</v>
      </c>
      <c r="G7" s="127">
        <v>851.67</v>
      </c>
      <c r="H7" s="124">
        <v>0.155</v>
      </c>
      <c r="I7" s="127">
        <v>575.44</v>
      </c>
      <c r="J7" s="125">
        <v>0.0195</v>
      </c>
      <c r="K7" s="125">
        <v>0.022</v>
      </c>
      <c r="L7" s="127">
        <v>81.68</v>
      </c>
      <c r="M7" s="135"/>
      <c r="N7" s="153">
        <f t="shared" si="0"/>
        <v>-0.01</v>
      </c>
      <c r="O7" s="127"/>
    </row>
    <row r="8" spans="1:15" ht="11.25">
      <c r="A8" s="131"/>
      <c r="B8" s="123">
        <v>2012</v>
      </c>
      <c r="C8" s="127">
        <v>3825</v>
      </c>
      <c r="D8" s="127">
        <v>4237.5</v>
      </c>
      <c r="E8" s="127">
        <v>1968.75</v>
      </c>
      <c r="F8" s="127">
        <v>1312.5</v>
      </c>
      <c r="G8" s="127">
        <v>851.67</v>
      </c>
      <c r="H8" s="124">
        <v>0.155</v>
      </c>
      <c r="I8" s="127">
        <v>592.88</v>
      </c>
      <c r="J8" s="125">
        <v>0.0195</v>
      </c>
      <c r="K8" s="125">
        <v>0.022</v>
      </c>
      <c r="L8" s="127">
        <v>84.15</v>
      </c>
      <c r="M8" s="135"/>
      <c r="N8" s="153">
        <f t="shared" si="0"/>
        <v>0.030303030303030304</v>
      </c>
      <c r="O8" s="127"/>
    </row>
    <row r="9" spans="1:15" ht="11.25">
      <c r="A9" s="131"/>
      <c r="B9" s="123">
        <v>2013</v>
      </c>
      <c r="C9" s="127">
        <v>3937.5</v>
      </c>
      <c r="D9" s="127">
        <v>4350</v>
      </c>
      <c r="E9" s="127">
        <v>2021.25</v>
      </c>
      <c r="F9" s="127">
        <v>1347.5</v>
      </c>
      <c r="G9" s="127">
        <v>898.33</v>
      </c>
      <c r="H9" s="124">
        <v>0.155</v>
      </c>
      <c r="I9" s="127">
        <v>610.31</v>
      </c>
      <c r="J9" s="125">
        <v>0.0205</v>
      </c>
      <c r="K9" s="125">
        <v>0.023</v>
      </c>
      <c r="L9" s="127">
        <v>90.56</v>
      </c>
      <c r="M9" s="135"/>
      <c r="N9" s="153">
        <f t="shared" si="0"/>
        <v>0.029411764705882353</v>
      </c>
      <c r="O9" s="127"/>
    </row>
    <row r="10" spans="1:15" ht="11.25">
      <c r="A10" s="131"/>
      <c r="B10" s="123">
        <v>2014</v>
      </c>
      <c r="C10" s="127">
        <v>4050</v>
      </c>
      <c r="D10" s="127">
        <v>4462.5</v>
      </c>
      <c r="E10" s="127">
        <v>2073.75</v>
      </c>
      <c r="F10" s="127">
        <v>1982.5</v>
      </c>
      <c r="G10" s="127">
        <v>921.67</v>
      </c>
      <c r="H10" s="124">
        <v>0.155</v>
      </c>
      <c r="I10" s="127">
        <v>627.75</v>
      </c>
      <c r="J10" s="125">
        <v>0.0205</v>
      </c>
      <c r="K10" s="125">
        <v>0.023</v>
      </c>
      <c r="L10" s="127">
        <v>93.15</v>
      </c>
      <c r="M10" s="135"/>
      <c r="N10" s="153">
        <f t="shared" si="0"/>
        <v>0.02857142857142857</v>
      </c>
      <c r="O10" s="127"/>
    </row>
    <row r="11" spans="1:15" ht="11.25">
      <c r="A11" s="131"/>
      <c r="B11" s="123">
        <v>2015</v>
      </c>
      <c r="C11" s="127">
        <v>4125</v>
      </c>
      <c r="D11" s="127">
        <v>4575</v>
      </c>
      <c r="E11" s="127"/>
      <c r="F11" s="127"/>
      <c r="G11" s="127"/>
      <c r="H11" s="124">
        <v>0.146</v>
      </c>
      <c r="I11" s="127">
        <v>602.25</v>
      </c>
      <c r="J11" s="125">
        <v>0.0235</v>
      </c>
      <c r="K11" s="125">
        <v>0.026</v>
      </c>
      <c r="L11" s="127">
        <v>96.94</v>
      </c>
      <c r="M11" s="135"/>
      <c r="N11" s="153">
        <f t="shared" si="0"/>
        <v>0.018518518518518517</v>
      </c>
      <c r="O11" s="127"/>
    </row>
    <row r="12" spans="1:15" ht="11.25">
      <c r="A12" s="131"/>
      <c r="B12" s="123">
        <v>2016</v>
      </c>
      <c r="C12" s="127">
        <v>4237.5</v>
      </c>
      <c r="D12" s="127">
        <v>4687.5</v>
      </c>
      <c r="E12" s="127"/>
      <c r="F12" s="127"/>
      <c r="G12" s="127"/>
      <c r="H12" s="124">
        <v>0.146</v>
      </c>
      <c r="I12" s="127">
        <v>618.68</v>
      </c>
      <c r="J12" s="125">
        <v>0.0235</v>
      </c>
      <c r="K12" s="125">
        <v>0.026</v>
      </c>
      <c r="L12" s="127"/>
      <c r="M12" s="135"/>
      <c r="N12" s="153">
        <f>(C12-C11)/C11</f>
        <v>0.02727272727272727</v>
      </c>
      <c r="O12" s="127"/>
    </row>
    <row r="13" spans="1:15" ht="11.25">
      <c r="A13" s="131"/>
      <c r="B13" s="123"/>
      <c r="C13" s="127"/>
      <c r="D13" s="127"/>
      <c r="E13" s="127"/>
      <c r="F13" s="127"/>
      <c r="G13" s="127"/>
      <c r="H13" s="124"/>
      <c r="I13" s="127"/>
      <c r="J13" s="125"/>
      <c r="K13" s="125"/>
      <c r="L13" s="127"/>
      <c r="M13" s="135"/>
      <c r="O13" s="127"/>
    </row>
    <row r="14" spans="1:15" ht="11.25">
      <c r="A14" s="131"/>
      <c r="B14" s="123"/>
      <c r="C14" s="127"/>
      <c r="D14" s="127"/>
      <c r="E14" s="127"/>
      <c r="F14" s="127"/>
      <c r="G14" s="127"/>
      <c r="H14" s="124"/>
      <c r="I14" s="127"/>
      <c r="J14" s="125"/>
      <c r="K14" s="125"/>
      <c r="L14" s="127"/>
      <c r="M14" s="135"/>
      <c r="O14" s="127"/>
    </row>
    <row r="15" spans="1:15" ht="11.25">
      <c r="A15" s="131"/>
      <c r="B15" s="123"/>
      <c r="C15" s="127"/>
      <c r="D15" s="127"/>
      <c r="E15" s="127"/>
      <c r="F15" s="127"/>
      <c r="G15" s="127"/>
      <c r="H15" s="124"/>
      <c r="I15" s="127"/>
      <c r="J15" s="125"/>
      <c r="K15" s="125"/>
      <c r="L15" s="127"/>
      <c r="M15" s="135"/>
      <c r="O15" s="127"/>
    </row>
    <row r="16" spans="1:15" ht="11.25">
      <c r="A16" s="131"/>
      <c r="B16" s="123"/>
      <c r="C16" s="127"/>
      <c r="D16" s="127"/>
      <c r="E16" s="127"/>
      <c r="F16" s="127"/>
      <c r="G16" s="127"/>
      <c r="H16" s="124"/>
      <c r="I16" s="127"/>
      <c r="J16" s="125"/>
      <c r="K16" s="125"/>
      <c r="L16" s="127"/>
      <c r="M16" s="135"/>
      <c r="O16" s="127"/>
    </row>
    <row r="17" spans="1:15" ht="11.25">
      <c r="A17" s="131"/>
      <c r="B17" s="123"/>
      <c r="C17" s="127"/>
      <c r="D17" s="127"/>
      <c r="E17" s="127"/>
      <c r="F17" s="127"/>
      <c r="G17" s="127"/>
      <c r="H17" s="124"/>
      <c r="I17" s="127"/>
      <c r="J17" s="125"/>
      <c r="K17" s="125"/>
      <c r="L17" s="127"/>
      <c r="M17" s="135"/>
      <c r="O17" s="127"/>
    </row>
    <row r="18" spans="1:15" ht="11.25">
      <c r="A18" s="131"/>
      <c r="B18" s="123"/>
      <c r="C18" s="127"/>
      <c r="D18" s="127"/>
      <c r="E18" s="127"/>
      <c r="F18" s="127"/>
      <c r="G18" s="127"/>
      <c r="H18" s="124"/>
      <c r="I18" s="127"/>
      <c r="J18" s="124"/>
      <c r="K18" s="124"/>
      <c r="L18" s="127"/>
      <c r="M18" s="135"/>
      <c r="O18" s="127"/>
    </row>
    <row r="19" spans="1:15" ht="11.25">
      <c r="A19" s="131"/>
      <c r="B19" s="123"/>
      <c r="C19" s="128"/>
      <c r="D19" s="128"/>
      <c r="E19" s="128"/>
      <c r="F19" s="128"/>
      <c r="G19" s="128"/>
      <c r="H19" s="124"/>
      <c r="I19" s="127"/>
      <c r="J19" s="124"/>
      <c r="K19" s="124"/>
      <c r="L19" s="127"/>
      <c r="M19" s="131"/>
      <c r="O19" s="127"/>
    </row>
    <row r="20" spans="1:15" ht="11.25">
      <c r="A20" s="131"/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1"/>
      <c r="O20" s="127"/>
    </row>
    <row r="21" spans="8:15" ht="11.25">
      <c r="H21" s="126" t="s">
        <v>99</v>
      </c>
      <c r="O21" s="127"/>
    </row>
  </sheetData>
  <sheetProtection/>
  <mergeCells count="1">
    <mergeCell ref="J2:K2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Schorsch</dc:creator>
  <cp:keywords/>
  <dc:description/>
  <cp:lastModifiedBy>tom</cp:lastModifiedBy>
  <cp:lastPrinted>2010-12-03T10:49:52Z</cp:lastPrinted>
  <dcterms:created xsi:type="dcterms:W3CDTF">2006-09-26T14:58:33Z</dcterms:created>
  <dcterms:modified xsi:type="dcterms:W3CDTF">2016-03-02T10:57:19Z</dcterms:modified>
  <cp:category/>
  <cp:version/>
  <cp:contentType/>
  <cp:contentStatus/>
</cp:coreProperties>
</file>